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Shared\Recharge Review\Recharge Classes\Recharge Training Modules\"/>
    </mc:Choice>
  </mc:AlternateContent>
  <xr:revisionPtr revIDLastSave="0" documentId="8_{86F8058F-88A1-4DA4-9883-3A4E6B2FDB36}" xr6:coauthVersionLast="47" xr6:coauthVersionMax="47" xr10:uidLastSave="{00000000-0000-0000-0000-000000000000}"/>
  <bookViews>
    <workbookView xWindow="19090" yWindow="-110" windowWidth="38620" windowHeight="21220" tabRatio="898" xr2:uid="{00000000-000D-0000-FFFF-FFFF00000000}"/>
  </bookViews>
  <sheets>
    <sheet name="Overview" sheetId="36" r:id="rId1"/>
    <sheet name="Last Approved Rate Calc" sheetId="2" r:id="rId2"/>
    <sheet name="Monthly Report 2023-24" sheetId="6" r:id="rId3"/>
    <sheet name="GL Transaction Detail" sheetId="35" r:id="rId4"/>
    <sheet name="Adjusted Net Position" sheetId="24" r:id="rId5"/>
    <sheet name="Discontinuation Checklist" sheetId="38" r:id="rId6"/>
    <sheet name="Proposed Treatment of Surplus " sheetId="32" r:id="rId7"/>
  </sheets>
  <externalReferences>
    <externalReference r:id="rId8"/>
  </externalReferences>
  <definedNames>
    <definedName name="Allocable">'[1]Recharge Rates'!$H$8</definedName>
    <definedName name="_xlnm.Print_Area" localSheetId="4">'Adjusted Net Position'!#REF!</definedName>
    <definedName name="_xlnm.Print_Area" localSheetId="3">'GL Transaction Detail'!$B$2:$P$192</definedName>
    <definedName name="_xlnm.Print_Area" localSheetId="1">'Last Approved Rate Calc'!$A$4:$F$31</definedName>
    <definedName name="_xlnm.Print_Area" localSheetId="2">'Monthly Report 2023-24'!$B$4:$P$31</definedName>
    <definedName name="_xlnm.Print_Titles" localSheetId="3">'GL Transaction Detail'!$5:$8</definedName>
    <definedName name="Salary">'[1]Recharge Rates'!$E$8</definedName>
    <definedName name="TDC">'[1]Recharge Rates'!$F$7</definedName>
    <definedName name="TechSalary">'[1]Lab Tech - filled'!$G$15</definedName>
    <definedName name="Text10" localSheetId="5">'Discontinuation Checklist'!$C$16</definedName>
    <definedName name="Text8" localSheetId="5">'Discontinuation Checklist'!$D$27</definedName>
    <definedName name="Text9" localSheetId="5">'Discontinuation Checklist'!$C$25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91" i="35" l="1"/>
  <c r="N180" i="35"/>
  <c r="N179" i="35"/>
  <c r="N178" i="35"/>
  <c r="N177" i="35"/>
  <c r="N176" i="35"/>
  <c r="N175" i="35"/>
  <c r="N174" i="35"/>
  <c r="N173" i="35"/>
  <c r="N172" i="35"/>
  <c r="N171" i="35"/>
  <c r="N170" i="35"/>
  <c r="N128" i="35"/>
  <c r="N127" i="35"/>
  <c r="N126" i="35"/>
  <c r="N125" i="35"/>
  <c r="N124" i="35"/>
  <c r="N123" i="35"/>
  <c r="N122" i="35"/>
  <c r="N121" i="35"/>
  <c r="N120" i="35"/>
  <c r="N119" i="35"/>
  <c r="N118" i="35"/>
  <c r="N117" i="35"/>
  <c r="N92" i="35"/>
  <c r="N91" i="35"/>
  <c r="N90" i="35"/>
  <c r="N89" i="35"/>
  <c r="N88" i="35"/>
  <c r="N87" i="35"/>
  <c r="N86" i="35"/>
  <c r="N85" i="35"/>
  <c r="N84" i="35"/>
  <c r="N83" i="35"/>
  <c r="N82" i="35"/>
  <c r="N81" i="35"/>
  <c r="N68" i="35"/>
  <c r="N67" i="35"/>
  <c r="N66" i="35"/>
  <c r="N65" i="35"/>
  <c r="M9" i="24"/>
  <c r="L9" i="24"/>
  <c r="L7" i="24" l="1"/>
  <c r="N129" i="35" l="1"/>
  <c r="N130" i="35"/>
  <c r="N131" i="35"/>
  <c r="N132" i="35"/>
  <c r="N133" i="35"/>
  <c r="N134" i="35"/>
  <c r="N135" i="35"/>
  <c r="N136" i="35"/>
  <c r="N137" i="35"/>
  <c r="N138" i="35"/>
  <c r="N139" i="35"/>
  <c r="N140" i="35"/>
  <c r="G11" i="6" l="1"/>
  <c r="G4" i="38" l="1"/>
  <c r="I12" i="32" l="1"/>
  <c r="D10" i="2" l="1"/>
  <c r="E10" i="2" s="1"/>
  <c r="D9" i="2"/>
  <c r="E9" i="2" s="1"/>
  <c r="O192" i="35"/>
  <c r="D28" i="6" l="1"/>
  <c r="P28" i="6" s="1"/>
  <c r="P30" i="6" s="1"/>
  <c r="D22" i="6"/>
  <c r="F22" i="6"/>
  <c r="P20" i="6"/>
  <c r="P21" i="6"/>
  <c r="P19" i="6"/>
  <c r="G15" i="6"/>
  <c r="G22" i="6" s="1"/>
  <c r="H15" i="6"/>
  <c r="H22" i="6" s="1"/>
  <c r="E15" i="6"/>
  <c r="E22" i="6"/>
  <c r="J30" i="6"/>
  <c r="K30" i="6"/>
  <c r="L30" i="6"/>
  <c r="M30" i="6"/>
  <c r="N30" i="6"/>
  <c r="O30" i="6"/>
  <c r="P16" i="6"/>
  <c r="P17" i="6"/>
  <c r="P18" i="6"/>
  <c r="J22" i="6"/>
  <c r="K22" i="6"/>
  <c r="L22" i="6"/>
  <c r="L23" i="6" s="1"/>
  <c r="L25" i="6" s="1"/>
  <c r="L26" i="6" s="1"/>
  <c r="L29" i="6" s="1"/>
  <c r="L31" i="6" s="1"/>
  <c r="M22" i="6"/>
  <c r="M23" i="6" s="1"/>
  <c r="M25" i="6" s="1"/>
  <c r="M26" i="6" s="1"/>
  <c r="M29" i="6" s="1"/>
  <c r="M31" i="6" s="1"/>
  <c r="N22" i="6"/>
  <c r="O22" i="6"/>
  <c r="P11" i="6"/>
  <c r="E12" i="6"/>
  <c r="F12" i="6"/>
  <c r="G12" i="6"/>
  <c r="H12" i="6"/>
  <c r="I12" i="6"/>
  <c r="J12" i="6"/>
  <c r="J23" i="6" s="1"/>
  <c r="J25" i="6" s="1"/>
  <c r="J26" i="6" s="1"/>
  <c r="J29" i="6" s="1"/>
  <c r="J31" i="6" s="1"/>
  <c r="K12" i="6"/>
  <c r="L12" i="6"/>
  <c r="M12" i="6"/>
  <c r="N12" i="6"/>
  <c r="O12" i="6"/>
  <c r="O23" i="6" s="1"/>
  <c r="O25" i="6" s="1"/>
  <c r="O26" i="6" s="1"/>
  <c r="O29" i="6" s="1"/>
  <c r="O31" i="6" s="1"/>
  <c r="D12" i="6"/>
  <c r="N190" i="35"/>
  <c r="N189" i="35"/>
  <c r="N188" i="35"/>
  <c r="N187" i="35"/>
  <c r="N186" i="35"/>
  <c r="N185" i="35"/>
  <c r="N184" i="35"/>
  <c r="N183" i="35"/>
  <c r="N182" i="35"/>
  <c r="N181" i="35"/>
  <c r="N105" i="35"/>
  <c r="N100" i="35"/>
  <c r="N99" i="35"/>
  <c r="N98" i="35"/>
  <c r="N97" i="35"/>
  <c r="N96" i="35"/>
  <c r="N95" i="35"/>
  <c r="N94" i="35"/>
  <c r="N93" i="35"/>
  <c r="N76" i="35"/>
  <c r="N75" i="35"/>
  <c r="N74" i="35"/>
  <c r="N73" i="35"/>
  <c r="N72" i="35"/>
  <c r="N71" i="35"/>
  <c r="N70" i="35"/>
  <c r="N69" i="35"/>
  <c r="N53" i="35"/>
  <c r="N54" i="35" s="1"/>
  <c r="N29" i="35"/>
  <c r="N77" i="35" s="1"/>
  <c r="B11" i="2"/>
  <c r="F14" i="2" s="1"/>
  <c r="F23" i="6"/>
  <c r="F25" i="6" s="1"/>
  <c r="F26" i="6" s="1"/>
  <c r="P14" i="6"/>
  <c r="D30" i="6"/>
  <c r="H23" i="6" l="1"/>
  <c r="H25" i="6" s="1"/>
  <c r="H26" i="6" s="1"/>
  <c r="G23" i="6"/>
  <c r="G25" i="6" s="1"/>
  <c r="G26" i="6" s="1"/>
  <c r="I15" i="6"/>
  <c r="I22" i="6" s="1"/>
  <c r="I23" i="6" s="1"/>
  <c r="I25" i="6" s="1"/>
  <c r="I26" i="6" s="1"/>
  <c r="E23" i="6"/>
  <c r="E25" i="6" s="1"/>
  <c r="E26" i="6" s="1"/>
  <c r="D23" i="6"/>
  <c r="D25" i="6" s="1"/>
  <c r="D26" i="6" s="1"/>
  <c r="D29" i="6" s="1"/>
  <c r="E28" i="6" s="1"/>
  <c r="E30" i="6" s="1"/>
  <c r="K23" i="6"/>
  <c r="K25" i="6" s="1"/>
  <c r="K26" i="6" s="1"/>
  <c r="K29" i="6" s="1"/>
  <c r="K31" i="6" s="1"/>
  <c r="N101" i="35"/>
  <c r="N30" i="35"/>
  <c r="N78" i="35" s="1"/>
  <c r="P12" i="6"/>
  <c r="N23" i="6"/>
  <c r="N25" i="6" s="1"/>
  <c r="N26" i="6" s="1"/>
  <c r="N29" i="6" s="1"/>
  <c r="N31" i="6" s="1"/>
  <c r="F10" i="2"/>
  <c r="N102" i="35"/>
  <c r="N55" i="35"/>
  <c r="F9" i="2"/>
  <c r="E11" i="2"/>
  <c r="P15" i="6"/>
  <c r="P22" i="6" s="1"/>
  <c r="D11" i="2"/>
  <c r="F17" i="2" s="1"/>
  <c r="D31" i="6" l="1"/>
  <c r="N31" i="35"/>
  <c r="N32" i="35" s="1"/>
  <c r="N80" i="35" s="1"/>
  <c r="F11" i="2"/>
  <c r="P23" i="6"/>
  <c r="P25" i="6" s="1"/>
  <c r="P26" i="6" s="1"/>
  <c r="P29" i="6" s="1"/>
  <c r="P31" i="6" s="1"/>
  <c r="F18" i="2"/>
  <c r="E29" i="6"/>
  <c r="N56" i="35"/>
  <c r="N103" i="35"/>
  <c r="N79" i="35" l="1"/>
  <c r="F19" i="2"/>
  <c r="F21" i="2" s="1"/>
  <c r="F23" i="2" s="1"/>
  <c r="F28" i="6"/>
  <c r="E31" i="6"/>
  <c r="N104" i="35"/>
  <c r="P192" i="35" s="1"/>
  <c r="J7" i="24" s="1"/>
  <c r="M7" i="24" l="1"/>
  <c r="K24" i="38" s="1"/>
  <c r="F29" i="6"/>
  <c r="F30" i="6"/>
  <c r="B31" i="2"/>
  <c r="D28" i="2"/>
  <c r="K12" i="32" l="1"/>
  <c r="L12" i="32"/>
  <c r="F31" i="6"/>
  <c r="G28" i="6"/>
  <c r="D31" i="2"/>
  <c r="G30" i="6" l="1"/>
  <c r="G29" i="6"/>
  <c r="G31" i="6" l="1"/>
  <c r="H28" i="6"/>
  <c r="H30" i="6" l="1"/>
  <c r="H29" i="6"/>
  <c r="H31" i="6" l="1"/>
  <c r="I28" i="6"/>
  <c r="H12" i="32"/>
  <c r="J8" i="32" l="1"/>
  <c r="L8" i="32" s="1"/>
  <c r="J9" i="32"/>
  <c r="L9" i="32" s="1"/>
  <c r="J10" i="32"/>
  <c r="L10" i="32" s="1"/>
  <c r="J11" i="32"/>
  <c r="L11" i="32" s="1"/>
  <c r="J7" i="32"/>
  <c r="L7" i="32" s="1"/>
  <c r="I30" i="6"/>
  <c r="I29" i="6"/>
  <c r="I31" i="6" s="1"/>
  <c r="J12"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Hislen, Sarah</author>
  </authors>
  <commentList>
    <comment ref="G11" authorId="0" shapeId="0" xr:uid="{00000000-0006-0000-0200-000001000000}">
      <text>
        <r>
          <rPr>
            <b/>
            <sz val="10"/>
            <color indexed="81"/>
            <rFont val="Tahoma"/>
            <family val="2"/>
          </rPr>
          <t>Revenue was last collected from users in October 2023, which determines the activity's end date.</t>
        </r>
      </text>
    </comment>
  </commentList>
</comments>
</file>

<file path=xl/sharedStrings.xml><?xml version="1.0" encoding="utf-8"?>
<sst xmlns="http://schemas.openxmlformats.org/spreadsheetml/2006/main" count="1890" uniqueCount="248">
  <si>
    <t>Director (Specialist II)</t>
  </si>
  <si>
    <t>Recharge Analyst</t>
  </si>
  <si>
    <t>Personnel Expense:</t>
  </si>
  <si>
    <t>Effort</t>
  </si>
  <si>
    <t>Annual
Salary</t>
  </si>
  <si>
    <t>Annual
Expense</t>
  </si>
  <si>
    <t>Benefit
Expense</t>
  </si>
  <si>
    <t>Total</t>
  </si>
  <si>
    <t>TOTAL PERSONNEL COSTS</t>
  </si>
  <si>
    <t>Non-Personnel Expense:</t>
  </si>
  <si>
    <t>Supplies &amp; Materials</t>
  </si>
  <si>
    <t>Service Contract</t>
  </si>
  <si>
    <t>TOTAL NON-PERSONNEL COSTS</t>
  </si>
  <si>
    <t>Working Capital</t>
  </si>
  <si>
    <t>Estimated Volume</t>
  </si>
  <si>
    <t>Rate Methodology:</t>
  </si>
  <si>
    <t>Rate per hour = Total Cost / Total Volume</t>
  </si>
  <si>
    <t>Rate per hour =</t>
  </si>
  <si>
    <t>Projected Volume</t>
  </si>
  <si>
    <t>Electron Microscope Recharge</t>
  </si>
  <si>
    <t>OTHER EXPENSES</t>
  </si>
  <si>
    <t>GEN/AUTO LIABILITY</t>
  </si>
  <si>
    <t>Prior Year Deficit</t>
  </si>
  <si>
    <t>Department of Microbiology</t>
  </si>
  <si>
    <t>Fund</t>
  </si>
  <si>
    <t>Rate</t>
  </si>
  <si>
    <t>Projected Revenue</t>
  </si>
  <si>
    <t>Monthly Report</t>
  </si>
  <si>
    <t>Actuals</t>
  </si>
  <si>
    <t xml:space="preserve">  REVENUES</t>
  </si>
  <si>
    <t>RECHARGE &amp; COSTED CENTRAL ACT</t>
  </si>
  <si>
    <t>0</t>
  </si>
  <si>
    <t xml:space="preserve">TOTAL REVENUES  </t>
  </si>
  <si>
    <t xml:space="preserve">  EXPENSES</t>
  </si>
  <si>
    <t>NON-FACULTY ACADEMIC SALARIES</t>
  </si>
  <si>
    <t>NON-FACULTY ACADEMIC BENEFITS</t>
  </si>
  <si>
    <t>STAFF SALARIES AND OVERTIME</t>
  </si>
  <si>
    <t>STAFF BENEFITS</t>
  </si>
  <si>
    <t>SUPPLIES AND MATERIALS</t>
  </si>
  <si>
    <t>SERVICES</t>
  </si>
  <si>
    <t xml:space="preserve">TOTAL EXPENSES  </t>
  </si>
  <si>
    <t xml:space="preserve">INCOME/(LOSS) FROM OPERATIONS </t>
  </si>
  <si>
    <r>
      <rPr>
        <b/>
        <sz val="9"/>
        <color indexed="8"/>
        <rFont val="Arial"/>
        <family val="2"/>
      </rPr>
      <t xml:space="preserve"> </t>
    </r>
    <r>
      <rPr>
        <b/>
        <sz val="9"/>
        <color indexed="8"/>
        <rFont val="Arial"/>
        <family val="2"/>
      </rPr>
      <t>CHANGE IN NET POSITION</t>
    </r>
  </si>
  <si>
    <t>Increase/(decrease) in unrestricted net position</t>
  </si>
  <si>
    <t xml:space="preserve">INCREASE/(DECREASE) IN NET POSITION  </t>
  </si>
  <si>
    <t xml:space="preserve">  NET POSITION</t>
  </si>
  <si>
    <t>Unrestricted - beginning of period</t>
  </si>
  <si>
    <t>Unrestricted - end of period</t>
  </si>
  <si>
    <t xml:space="preserve">TOTAL NET POSITION - BEGINNING OF PERIOD  </t>
  </si>
  <si>
    <r>
      <rPr>
        <b/>
        <sz val="9"/>
        <color indexed="8"/>
        <rFont val="Arial"/>
        <family val="2"/>
      </rPr>
      <t>TOTAL NET POSITION - END OF PERIOD</t>
    </r>
    <r>
      <rPr>
        <b/>
        <sz val="9"/>
        <color indexed="8"/>
        <rFont val="Arial"/>
        <family val="2"/>
      </rPr>
      <t xml:space="preserve">  </t>
    </r>
  </si>
  <si>
    <t>123456-5018-8123456</t>
  </si>
  <si>
    <t>Dept ID</t>
  </si>
  <si>
    <t xml:space="preserve">Project </t>
  </si>
  <si>
    <t>Function</t>
  </si>
  <si>
    <t>Transaction Detail</t>
  </si>
  <si>
    <t>Trans Type</t>
  </si>
  <si>
    <t>Source</t>
  </si>
  <si>
    <t>Bus Unit</t>
  </si>
  <si>
    <t>Acct</t>
  </si>
  <si>
    <t>Acct Descr</t>
  </si>
  <si>
    <t>Project</t>
  </si>
  <si>
    <t>Funct</t>
  </si>
  <si>
    <r>
      <rPr>
        <b/>
        <sz val="9"/>
        <color indexed="8"/>
        <rFont val="Arial"/>
        <family val="2"/>
      </rPr>
      <t xml:space="preserve"> </t>
    </r>
    <r>
      <rPr>
        <b/>
        <sz val="9"/>
        <color indexed="8"/>
        <rFont val="Arial"/>
        <family val="2"/>
      </rPr>
      <t>Description</t>
    </r>
  </si>
  <si>
    <t>Ref / Inv ID</t>
  </si>
  <si>
    <t>Journal</t>
  </si>
  <si>
    <t>Actual</t>
  </si>
  <si>
    <t>Code</t>
  </si>
  <si>
    <t>Date</t>
  </si>
  <si>
    <t>Financial Journal - Other</t>
  </si>
  <si>
    <t>SFCMP</t>
  </si>
  <si>
    <t>43</t>
  </si>
  <si>
    <t xml:space="preserve"> </t>
  </si>
  <si>
    <t>Payroll</t>
  </si>
  <si>
    <t>536</t>
  </si>
  <si>
    <t>5018</t>
  </si>
  <si>
    <t>50301</t>
  </si>
  <si>
    <t>Non-faculty acad salaries</t>
  </si>
  <si>
    <t>50403</t>
  </si>
  <si>
    <t>Regular staff salaries</t>
  </si>
  <si>
    <t>5040C</t>
  </si>
  <si>
    <t>Non-faculty academic benefits</t>
  </si>
  <si>
    <t>5060C</t>
  </si>
  <si>
    <t>Staff benefits</t>
  </si>
  <si>
    <t>52201</t>
  </si>
  <si>
    <t>Lab supplies - chemicals</t>
  </si>
  <si>
    <t>Voucher</t>
  </si>
  <si>
    <t>426</t>
  </si>
  <si>
    <t>VWR INTERNATIONAL, INC.</t>
  </si>
  <si>
    <t>8058635364</t>
  </si>
  <si>
    <t>8058639685</t>
  </si>
  <si>
    <t>8058683964</t>
  </si>
  <si>
    <t>8058773492</t>
  </si>
  <si>
    <t>Recharge</t>
  </si>
  <si>
    <t>535</t>
  </si>
  <si>
    <t>52203</t>
  </si>
  <si>
    <t>Lab instruments &amp; supplies</t>
  </si>
  <si>
    <t>VALUTEK</t>
  </si>
  <si>
    <t>BIOEXPRESS, LLC</t>
  </si>
  <si>
    <t>B87613</t>
  </si>
  <si>
    <t>IN24463NS</t>
  </si>
  <si>
    <t>THORLABS, INC</t>
  </si>
  <si>
    <t>VANTAGE POINT LOGISTICS INC</t>
  </si>
  <si>
    <t>1776-114</t>
  </si>
  <si>
    <t>1919954</t>
  </si>
  <si>
    <t>IN29578NS</t>
  </si>
  <si>
    <t>52302</t>
  </si>
  <si>
    <t>Equipment less than $5K</t>
  </si>
  <si>
    <t>8058708031</t>
  </si>
  <si>
    <t>52308</t>
  </si>
  <si>
    <t>Cleang/custod/dining/uniform</t>
  </si>
  <si>
    <t>8057173369</t>
  </si>
  <si>
    <t>52603</t>
  </si>
  <si>
    <t>Equipmt $5K and above,non comp</t>
  </si>
  <si>
    <t>SAGE SCIENCE INC</t>
  </si>
  <si>
    <t>Z4444</t>
  </si>
  <si>
    <t>5B2</t>
  </si>
  <si>
    <t>55056</t>
  </si>
  <si>
    <t>Data network services</t>
  </si>
  <si>
    <t>NetWork Recharge</t>
  </si>
  <si>
    <t>GCRP</t>
  </si>
  <si>
    <t>5AT</t>
  </si>
  <si>
    <t>57055</t>
  </si>
  <si>
    <t>Mail sorting/mail delivery</t>
  </si>
  <si>
    <t>Mail Srvcs MailStop Fee</t>
  </si>
  <si>
    <t>1477</t>
  </si>
  <si>
    <t>Mail Srvcs Handling Oct</t>
  </si>
  <si>
    <t>MS: 2140</t>
  </si>
  <si>
    <t>57250</t>
  </si>
  <si>
    <t>Social activ /entmt/alcohol</t>
  </si>
  <si>
    <t>JAMES STANDFIELD CATERING</t>
  </si>
  <si>
    <t>26893</t>
  </si>
  <si>
    <t>566</t>
  </si>
  <si>
    <t>57400</t>
  </si>
  <si>
    <t>Insurance - gen/auto/empl liab</t>
  </si>
  <si>
    <t>555</t>
  </si>
  <si>
    <t>74200</t>
  </si>
  <si>
    <t>Recharge revenue</t>
  </si>
  <si>
    <t>RECHARGE CR-LABORATORY SERVICE</t>
  </si>
  <si>
    <t>REPORT TOTAL</t>
  </si>
  <si>
    <t>GORDON,KAREN</t>
  </si>
  <si>
    <t xml:space="preserve">PINE,JAMES </t>
  </si>
  <si>
    <t>021733558</t>
  </si>
  <si>
    <t>025474250</t>
  </si>
  <si>
    <t>CAPITAL EQUIPMENT (NON SPON PROJ)</t>
  </si>
  <si>
    <t>112233A</t>
  </si>
  <si>
    <t>122356B</t>
  </si>
  <si>
    <t>108875A</t>
  </si>
  <si>
    <t>Discontinuation Request Exercise</t>
  </si>
  <si>
    <t>Considerations:</t>
  </si>
  <si>
    <t>X</t>
  </si>
  <si>
    <t>Unallowable</t>
  </si>
  <si>
    <t>"Total Unallowable Expenses" also delete page #s</t>
  </si>
  <si>
    <t>add "if" sum and factor in the "x" answers and populatle formula for them</t>
  </si>
  <si>
    <t>TOTAL UNALLOWABLE EXPENSES</t>
  </si>
  <si>
    <t xml:space="preserve">              </t>
  </si>
  <si>
    <t>Business Unit</t>
  </si>
  <si>
    <t>Parent / Award ID</t>
  </si>
  <si>
    <t>Discontinuation Request Checklist</t>
  </si>
  <si>
    <t>General Information:</t>
  </si>
  <si>
    <t>Name of Recharge Activity:</t>
  </si>
  <si>
    <t>Recharge Dept ID - Fund - Project:</t>
  </si>
  <si>
    <t>Additional Project IDs:</t>
  </si>
  <si>
    <t>Reserve(s) Dept ID - Fund - Project:</t>
  </si>
  <si>
    <t>Discontinuation Checklist:</t>
  </si>
  <si>
    <t>Date last recharge revenue collected:</t>
  </si>
  <si>
    <t>Review last approval letter for any stipulations.</t>
  </si>
  <si>
    <t>Reconcile ending net position including the following:</t>
  </si>
  <si>
    <t>Provide proposed treatment of adjusted ending net position:</t>
  </si>
  <si>
    <t>If applicable, provide net position of reserve(s):</t>
  </si>
  <si>
    <t>User</t>
  </si>
  <si>
    <t>Account</t>
  </si>
  <si>
    <t>Amount 
Recharged</t>
  </si>
  <si>
    <t>A</t>
  </si>
  <si>
    <t>B</t>
  </si>
  <si>
    <t>C</t>
  </si>
  <si>
    <t>D</t>
  </si>
  <si>
    <t>E</t>
  </si>
  <si>
    <t>Surplus to Return</t>
  </si>
  <si>
    <t>%</t>
  </si>
  <si>
    <r>
      <t xml:space="preserve">• </t>
    </r>
    <r>
      <rPr>
        <sz val="14"/>
        <color indexed="8"/>
        <rFont val="Calibri"/>
        <family val="2"/>
      </rPr>
      <t>Were any expenses charged to the recharge fund after the operation ceased that need to be redirected to another fund source?</t>
    </r>
  </si>
  <si>
    <t xml:space="preserve">           </t>
  </si>
  <si>
    <t xml:space="preserve">  A review of the GL transaction detail since the last proposal review is provided on the "GL Detail" tab.</t>
  </si>
  <si>
    <t xml:space="preserve">  Identify all unallowable and/or unrelated expenses to be transferred off of the recharge. Costs should</t>
  </si>
  <si>
    <t xml:space="preserve">  generally not continue to be charged to the recharge after the date the last recharge revenue was collected.</t>
  </si>
  <si>
    <t xml:space="preserve">  Provide the adjusted ending net position (this is the ending balance at the time recharge</t>
  </si>
  <si>
    <t xml:space="preserve">  revenue was last collected and excludes any unallowable costs):</t>
  </si>
  <si>
    <r>
      <t xml:space="preserve">  For </t>
    </r>
    <r>
      <rPr>
        <b/>
        <sz val="12"/>
        <color theme="1"/>
        <rFont val="Calibri"/>
        <family val="2"/>
        <scheme val="minor"/>
      </rPr>
      <t>deficits</t>
    </r>
    <r>
      <rPr>
        <sz val="12"/>
        <color theme="1"/>
        <rFont val="Calibri"/>
        <family val="2"/>
        <scheme val="minor"/>
      </rPr>
      <t xml:space="preserve"> - provide chartstring used for  deficit write-off:</t>
    </r>
  </si>
  <si>
    <t>-</t>
  </si>
  <si>
    <t>$</t>
  </si>
  <si>
    <r>
      <t xml:space="preserve">  For </t>
    </r>
    <r>
      <rPr>
        <b/>
        <sz val="12"/>
        <color theme="1"/>
        <rFont val="Calibri"/>
        <family val="2"/>
        <scheme val="minor"/>
      </rPr>
      <t xml:space="preserve">surpluses </t>
    </r>
    <r>
      <rPr>
        <sz val="12"/>
        <color theme="1"/>
        <rFont val="Calibri"/>
        <family val="2"/>
        <scheme val="minor"/>
      </rPr>
      <t>- confirm that the "Proposed Treatment of Surplus" tab has been completed.</t>
    </r>
  </si>
  <si>
    <t xml:space="preserve">  Provide chartstring where the reserve net position will be transferred:</t>
  </si>
  <si>
    <t>Adjusted Net Position (Deficit)/Surplus</t>
  </si>
  <si>
    <t>Net Position - 
End of period (Deficit)/Surplus</t>
  </si>
  <si>
    <t xml:space="preserve">When finished, unhide columns J &amp; L for the answers by clicking on the            (in the top left corner).  </t>
  </si>
  <si>
    <t>Data Network ($44/month/FTE)</t>
  </si>
  <si>
    <t>GAEL (.84 per $100 salary)</t>
  </si>
  <si>
    <t>Setting:</t>
  </si>
  <si>
    <t>Last Approved Rate Calculation</t>
  </si>
  <si>
    <t>TOTAL ANNUAL ESTIMATED COSTS</t>
  </si>
  <si>
    <t>ADJUSTED EXPENSE FOR RATE CALCULATION</t>
  </si>
  <si>
    <t>Recharge Activity Monthly Report from MyReports</t>
  </si>
  <si>
    <r>
      <t xml:space="preserve">• </t>
    </r>
    <r>
      <rPr>
        <sz val="14"/>
        <color indexed="8"/>
        <rFont val="Calibri"/>
        <family val="2"/>
      </rPr>
      <t>Were any unallowable expenses charged to the recharge project since the last approval?</t>
    </r>
  </si>
  <si>
    <t>approved rate methodology to be used to allocate any residual surplus balance to return to the internal recharge users.</t>
  </si>
  <si>
    <t xml:space="preserve">The last approved rate calculation is provided to show the expenses that were approved in the rates, and the last </t>
  </si>
  <si>
    <t xml:space="preserve">Review the Monthly Report from MyReports to determine the activity end date (when service was last provided and revenue was last collected). </t>
  </si>
  <si>
    <t>Total Unallowable Expenses</t>
  </si>
  <si>
    <t>Calculate the Adjusted Net Position (Deficit)/Surplus in Column K below.</t>
  </si>
  <si>
    <t>1)</t>
  </si>
  <si>
    <t>2)</t>
  </si>
  <si>
    <t xml:space="preserve">After completing the exercise, unhide column P for the answers by clicking on the            (in the top left corner).       </t>
  </si>
  <si>
    <r>
      <t xml:space="preserve">Based on the account descriptions (column F) and the journal date (column M) below, identify which expenses are unallowable (generally or always unallowable accounts </t>
    </r>
    <r>
      <rPr>
        <i/>
        <sz val="11"/>
        <rFont val="Arial"/>
        <family val="2"/>
      </rPr>
      <t xml:space="preserve">or </t>
    </r>
    <r>
      <rPr>
        <sz val="11"/>
        <rFont val="Arial"/>
        <family val="2"/>
      </rPr>
      <t>expenses that posted after the activity's end date) by putting "x" in the</t>
    </r>
    <r>
      <rPr>
        <i/>
        <sz val="11"/>
        <rFont val="Arial"/>
        <family val="2"/>
      </rPr>
      <t xml:space="preserve"> Unallowable</t>
    </r>
    <r>
      <rPr>
        <sz val="11"/>
        <rFont val="Arial"/>
        <family val="2"/>
      </rPr>
      <t xml:space="preserve"> column (O).</t>
    </r>
  </si>
  <si>
    <r>
      <t xml:space="preserve">The </t>
    </r>
    <r>
      <rPr>
        <i/>
        <sz val="10"/>
        <rFont val="Arial"/>
        <family val="2"/>
      </rPr>
      <t xml:space="preserve">Adjusted Net Position </t>
    </r>
    <r>
      <rPr>
        <sz val="10"/>
        <rFont val="Arial"/>
        <family val="2"/>
      </rPr>
      <t>(Column L) will be automatically calculated by adding the Total Unallowable Expenses (Column I) to the Net Position - End of period (Deficit)/Surplus (Column G).</t>
    </r>
  </si>
  <si>
    <t xml:space="preserve"> After completing the exercise, unhide columns J and M for the answers by clicking on the            (in the top left corner).  </t>
  </si>
  <si>
    <t>The Discontinuation Request Checklist has been completed based on the information collected on the previous tabs to ensure the request is complete before submission to Recharge Review for review and approval of the discontinuation plan.</t>
  </si>
  <si>
    <t>• Surplus balances will need to be returned to the recharge users.</t>
  </si>
  <si>
    <t>• Deficit balances will need to be subsidized by a department discretionary fund source.</t>
  </si>
  <si>
    <r>
      <t xml:space="preserve">Link the Total Unallowable Expenses (Column I) to the Total Unallowable Expenses calculated in the </t>
    </r>
    <r>
      <rPr>
        <b/>
        <sz val="10"/>
        <rFont val="Arial"/>
        <family val="2"/>
      </rPr>
      <t>GL Transaction Detail</t>
    </r>
    <r>
      <rPr>
        <sz val="10"/>
        <rFont val="Arial"/>
        <family val="2"/>
      </rPr>
      <t xml:space="preserve"> </t>
    </r>
    <r>
      <rPr>
        <b/>
        <sz val="10"/>
        <rFont val="Arial"/>
        <family val="2"/>
      </rPr>
      <t>tab</t>
    </r>
    <r>
      <rPr>
        <sz val="10"/>
        <rFont val="Arial"/>
        <family val="2"/>
      </rPr>
      <t xml:space="preserve"> (cell O110).</t>
    </r>
  </si>
  <si>
    <t>The recharge department will return the $7,277.54 surplus balance to its users in proportion to the total amount charged to each user.  Calculate the amount to refund each user.</t>
  </si>
  <si>
    <t xml:space="preserve">Calculate the % of the surplus returned to each user (in column I) by dividing the amount recharged to each user (in column H) by the total amount recharged (in cell H12). </t>
  </si>
  <si>
    <t>Calculate the surplus amount to return to each user (in column K) by multiplying each user's % (in column I) by the total surplus to return (in cell K12).</t>
  </si>
  <si>
    <t>The following considerations should be made prior to formally closing out this recharge activity:</t>
  </si>
  <si>
    <t>Discontinuation Request Preparation Exercise:</t>
  </si>
  <si>
    <t>Step 1:</t>
  </si>
  <si>
    <t xml:space="preserve">Step 2: </t>
  </si>
  <si>
    <r>
      <t>LAST APPROVED RATE CALC TAB -</t>
    </r>
    <r>
      <rPr>
        <sz val="14"/>
        <rFont val="Calibri"/>
        <family val="2"/>
        <scheme val="minor"/>
      </rPr>
      <t xml:space="preserve"> provided to show the expenses that were approved in the rates, and the last approved rate methodology to be used to allocate any residual surplus balance to return to the internal recharge users.</t>
    </r>
  </si>
  <si>
    <t>Step 3:</t>
  </si>
  <si>
    <t>Step 4:</t>
  </si>
  <si>
    <t>Step 5:</t>
  </si>
  <si>
    <t>Step 6:</t>
  </si>
  <si>
    <r>
      <t xml:space="preserve">ADJUSTED NET POSITION TAB - </t>
    </r>
    <r>
      <rPr>
        <sz val="14"/>
        <rFont val="Calibri"/>
        <family val="2"/>
        <scheme val="minor"/>
      </rPr>
      <t>Calculate the adjusted net position (ending surplus/(deficit) balance) by removing any unallowable expenses from the recharge from the current net position.</t>
    </r>
  </si>
  <si>
    <r>
      <t xml:space="preserve">DISCONTINUATION CHECKLIST TAB - </t>
    </r>
    <r>
      <rPr>
        <sz val="14"/>
        <color rgb="FF000000"/>
        <rFont val="Calibri"/>
        <family val="2"/>
      </rPr>
      <t xml:space="preserve">Provide general information requested and complete the checklist including proposed treatment of the ending balance. </t>
    </r>
  </si>
  <si>
    <r>
      <t>PROPOSED TREATMENT OF SURPLUS TAB -</t>
    </r>
    <r>
      <rPr>
        <sz val="14"/>
        <rFont val="Calibri"/>
        <family val="2"/>
        <scheme val="minor"/>
      </rPr>
      <t xml:space="preserve"> If there is an ending surplus net position, calculate the allocation of the surplus to return to internal users only. </t>
    </r>
  </si>
  <si>
    <t>Microbiology has submitted a formal request to Recharge Review in December 2023 to discontinue their Electron Microscope Recharge Activity.  The activity ceased in October of 2023, and was last approved for 2022-23.  According to the department, the recharge project has a deficit balance, which will be paid off with a departmental discretionary fund source, and the surplus balance on the renewal and replacement reserve fund will be transferred to a departmental discretionary fund source.</t>
  </si>
  <si>
    <r>
      <t>MONTHLY REPORT 2023-24 TAB -</t>
    </r>
    <r>
      <rPr>
        <sz val="14"/>
        <rFont val="Calibri"/>
        <family val="2"/>
        <scheme val="minor"/>
      </rPr>
      <t xml:space="preserve"> used to determine the activity end date (when service was last provided and revenue was last collected). </t>
    </r>
  </si>
  <si>
    <r>
      <t xml:space="preserve">GL TRANSACTION DETAIL TAB - </t>
    </r>
    <r>
      <rPr>
        <sz val="14"/>
        <rFont val="Calibri"/>
        <family val="2"/>
      </rPr>
      <t>reconcile the actvity by</t>
    </r>
    <r>
      <rPr>
        <b/>
        <sz val="14"/>
        <rFont val="Calibri"/>
        <family val="2"/>
      </rPr>
      <t xml:space="preserve"> </t>
    </r>
    <r>
      <rPr>
        <sz val="14"/>
        <rFont val="Calibri"/>
        <family val="2"/>
      </rPr>
      <t>reviewing the financial transactions that have posted since the last proposal preparation year (2022-23) and identify all expenses that should be transferred from the recharge project:</t>
    </r>
  </si>
  <si>
    <t>• Identify unallowable expenses that posted to the recharge project between January 1, 2022 and October 31, 2023.</t>
  </si>
  <si>
    <t>• Identify all expenses that posted to the recharge project after October 2023.</t>
  </si>
  <si>
    <t>2023-24</t>
  </si>
  <si>
    <r>
      <t xml:space="preserve">Total </t>
    </r>
    <r>
      <rPr>
        <b/>
        <sz val="9"/>
        <color indexed="8"/>
        <rFont val="Arial"/>
        <family val="2"/>
      </rPr>
      <t xml:space="preserve">2023-24 Actuals </t>
    </r>
  </si>
  <si>
    <t>Reconcile the financial activity that posted to the recharge project since the last proposal preparation year that has not already been reconciled in a previous review (in this example, since January 1, 2022).</t>
  </si>
  <si>
    <t>JULY 2023 REVENUE RECHARGE</t>
  </si>
  <si>
    <t>AUGUST 2023 REVENUE RECHARGE</t>
  </si>
  <si>
    <t>SEPTEMBER 2023 REVENUE RECHARG</t>
  </si>
  <si>
    <t>OCTOBER 2023 REVENUE RECHARGE</t>
  </si>
  <si>
    <t>3MMB9A</t>
  </si>
  <si>
    <t>JULY 2022 REVENUE RECHARGE</t>
  </si>
  <si>
    <t>AUGUST 2022 REVENUE RECHARGE</t>
  </si>
  <si>
    <t>SEPTEMBER 2022 REVENUE RECHARG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</si>
</sst>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mmm\-yyyy"/>
    <numFmt numFmtId="168" formatCode="#,##0;\(#,##0\);\0"/>
    <numFmt numFmtId="169" formatCode="#0.00;\(#0.00\);\0"/>
    <numFmt numFmtId="170" formatCode="[$$-409]#,##0;\([$$-409]#,##0\);\$\0"/>
    <numFmt numFmtId="171" formatCode="m/d/yy"/>
    <numFmt numFmtId="172" formatCode="#,##0.00;&quot;-&quot;#,##0.00"/>
    <numFmt numFmtId="173" formatCode="[$$-409]#,##0.00;&quot;-&quot;[$$-409]#,##0.00"/>
    <numFmt numFmtId="174" formatCode="[$$-409]#,##0.00"/>
    <numFmt numFmtId="175" formatCode="#0;\(#0\);\0"/>
    <numFmt numFmtId="176" formatCode="[$-409]mmm\-yy;@"/>
  </numFmts>
  <fonts count="51" x14ac:knownFonts="1">
    <font>
      <sz val="10"/>
      <name val="Arial"/>
    </font>
    <font>
      <sz val="11"/>
      <color theme="1"/>
      <name val="Calibri"/>
      <family val="2"/>
      <scheme val="minor"/>
    </font>
    <font>
      <sz val="10"/>
      <name val="Arial"/>
      <family val="2"/>
    </font>
    <font>
      <sz val="8"/>
      <name val="Arial"/>
      <family val="2"/>
    </font>
    <font>
      <b/>
      <sz val="10"/>
      <name val="Arial"/>
      <family val="2"/>
    </font>
    <font>
      <sz val="10"/>
      <name val="Arial"/>
      <family val="2"/>
    </font>
    <font>
      <u/>
      <sz val="10"/>
      <color indexed="12"/>
      <name val="Arial"/>
      <family val="2"/>
    </font>
    <font>
      <sz val="14"/>
      <name val="Arial"/>
      <family val="2"/>
    </font>
    <font>
      <sz val="11"/>
      <name val="Arial"/>
      <family val="2"/>
    </font>
    <font>
      <b/>
      <sz val="11"/>
      <name val="Arial"/>
      <family val="2"/>
    </font>
    <font>
      <b/>
      <sz val="9"/>
      <color indexed="8"/>
      <name val="Arial"/>
      <family val="2"/>
    </font>
    <font>
      <sz val="12"/>
      <name val="Arial"/>
      <family val="2"/>
    </font>
    <font>
      <b/>
      <sz val="14"/>
      <name val="Calibri"/>
      <family val="2"/>
    </font>
    <font>
      <sz val="9"/>
      <color rgb="FF333333"/>
      <name val="Arial"/>
      <family val="2"/>
    </font>
    <font>
      <sz val="9"/>
      <color rgb="FF454545"/>
      <name val="Arial"/>
      <family val="2"/>
    </font>
    <font>
      <b/>
      <sz val="9"/>
      <color rgb="FF454545"/>
      <name val="Arial"/>
      <family val="2"/>
    </font>
    <font>
      <sz val="9"/>
      <color theme="1"/>
      <name val="Arial"/>
      <family val="2"/>
    </font>
    <font>
      <b/>
      <sz val="9"/>
      <color theme="1"/>
      <name val="Arial"/>
      <family val="2"/>
    </font>
    <font>
      <b/>
      <sz val="12"/>
      <name val="Calibri"/>
      <family val="2"/>
      <scheme val="minor"/>
    </font>
    <font>
      <sz val="10"/>
      <name val="Calibri"/>
      <family val="2"/>
      <scheme val="minor"/>
    </font>
    <font>
      <b/>
      <sz val="10"/>
      <name val="Calibri"/>
      <family val="2"/>
      <scheme val="minor"/>
    </font>
    <font>
      <b/>
      <sz val="12"/>
      <color rgb="FFFFFFFF"/>
      <name val="Arial"/>
      <family val="2"/>
    </font>
    <font>
      <b/>
      <sz val="11"/>
      <color rgb="FF0000FF"/>
      <name val="Arial"/>
      <family val="2"/>
    </font>
    <font>
      <b/>
      <sz val="12"/>
      <color theme="1"/>
      <name val="Arial"/>
      <family val="2"/>
    </font>
    <font>
      <b/>
      <sz val="12"/>
      <color rgb="FF0000FF"/>
      <name val="Arial"/>
      <family val="2"/>
    </font>
    <font>
      <sz val="11"/>
      <color rgb="FF0000FF"/>
      <name val="Arial"/>
      <family val="2"/>
    </font>
    <font>
      <b/>
      <sz val="9"/>
      <color rgb="FF0000FF"/>
      <name val="Arial"/>
      <family val="2"/>
    </font>
    <font>
      <sz val="12"/>
      <color rgb="FF0000FF"/>
      <name val="Arial"/>
      <family val="2"/>
    </font>
    <font>
      <b/>
      <sz val="11"/>
      <color theme="1"/>
      <name val="Arial"/>
      <family val="2"/>
    </font>
    <font>
      <b/>
      <sz val="10"/>
      <color indexed="81"/>
      <name val="Tahoma"/>
      <family val="2"/>
    </font>
    <font>
      <b/>
      <sz val="18"/>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1"/>
      <color theme="0"/>
      <name val="Arial"/>
      <family val="2"/>
    </font>
    <font>
      <sz val="14"/>
      <color rgb="FF000000"/>
      <name val="Calibri"/>
      <family val="2"/>
    </font>
    <font>
      <sz val="14"/>
      <name val="Calibri"/>
      <family val="2"/>
    </font>
    <font>
      <sz val="14"/>
      <color indexed="8"/>
      <name val="Calibri"/>
      <family val="2"/>
    </font>
    <font>
      <i/>
      <sz val="12"/>
      <color rgb="FFFF0000"/>
      <name val="Calibri"/>
      <family val="2"/>
      <scheme val="minor"/>
    </font>
    <font>
      <sz val="12"/>
      <color theme="3" tint="0.39997558519241921"/>
      <name val="Calibri"/>
      <family val="2"/>
      <scheme val="minor"/>
    </font>
    <font>
      <sz val="16"/>
      <name val="Arial"/>
      <family val="2"/>
    </font>
    <font>
      <i/>
      <sz val="11"/>
      <name val="Arial"/>
      <family val="2"/>
    </font>
    <font>
      <i/>
      <sz val="10"/>
      <name val="Arial"/>
      <family val="2"/>
    </font>
    <font>
      <b/>
      <sz val="14"/>
      <name val="Calibri"/>
      <family val="2"/>
      <scheme val="minor"/>
    </font>
    <font>
      <sz val="16"/>
      <color rgb="FF000000"/>
      <name val="Calibri"/>
      <family val="2"/>
    </font>
    <font>
      <b/>
      <sz val="16"/>
      <name val="Calibri"/>
      <family val="2"/>
    </font>
    <font>
      <b/>
      <sz val="16"/>
      <name val="Arial"/>
      <family val="2"/>
    </font>
    <font>
      <sz val="14"/>
      <name val="Calibri"/>
      <family val="2"/>
      <scheme val="minor"/>
    </font>
    <font>
      <b/>
      <sz val="14"/>
      <color rgb="FF000000"/>
      <name val="Calibri"/>
      <family val="2"/>
    </font>
    <font>
      <b/>
      <sz val="18"/>
      <color rgb="FF000000"/>
      <name val="Calibri"/>
      <family val="2"/>
    </font>
    <font>
      <sz val="12"/>
      <color theme="1"/>
      <name val="Arial"/>
      <family val="2"/>
    </font>
  </fonts>
  <fills count="16">
    <fill>
      <patternFill patternType="none"/>
    </fill>
    <fill>
      <patternFill patternType="gray125"/>
    </fill>
    <fill>
      <patternFill patternType="solid">
        <fgColor indexed="22"/>
        <bgColor indexed="64"/>
      </patternFill>
    </fill>
    <fill>
      <patternFill patternType="solid">
        <fgColor rgb="FF7799BB"/>
      </patternFill>
    </fill>
    <fill>
      <patternFill patternType="solid">
        <fgColor rgb="FFFFFFFF"/>
      </patternFill>
    </fill>
    <fill>
      <patternFill patternType="solid">
        <fgColor rgb="FFCCCCCC"/>
      </patternFill>
    </fill>
    <fill>
      <patternFill patternType="solid">
        <fgColor rgb="FFB4B4B4"/>
      </patternFill>
    </fill>
    <fill>
      <patternFill patternType="solid">
        <fgColor rgb="FFDDDDDD"/>
        <bgColor indexed="64"/>
      </patternFill>
    </fill>
    <fill>
      <patternFill patternType="solid">
        <fgColor rgb="FF5A5A5A"/>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82">
    <border>
      <left/>
      <right/>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style="medium">
        <color indexed="64"/>
      </right>
      <top style="double">
        <color indexed="64"/>
      </top>
      <bottom/>
      <diagonal/>
    </border>
    <border>
      <left/>
      <right/>
      <top style="medium">
        <color indexed="64"/>
      </top>
      <bottom/>
      <diagonal/>
    </border>
    <border>
      <left/>
      <right style="medium">
        <color indexed="64"/>
      </right>
      <top style="medium">
        <color indexed="64"/>
      </top>
      <bottom/>
      <diagonal/>
    </border>
    <border>
      <left style="thin">
        <color indexed="22"/>
      </left>
      <right style="thin">
        <color indexed="22"/>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double">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rgb="FF666666"/>
      </right>
      <top/>
      <bottom/>
      <diagonal/>
    </border>
    <border>
      <left style="medium">
        <color rgb="FFEFEFEF"/>
      </left>
      <right style="medium">
        <color rgb="FFEFEFEF"/>
      </right>
      <top/>
      <bottom/>
      <diagonal/>
    </border>
    <border>
      <left style="medium">
        <color rgb="FFEFEFEF"/>
      </left>
      <right style="medium">
        <color indexed="64"/>
      </right>
      <top/>
      <bottom/>
      <diagonal/>
    </border>
    <border>
      <left style="medium">
        <color rgb="FFEFEFEF"/>
      </left>
      <right style="medium">
        <color rgb="FFEFEFEF"/>
      </right>
      <top style="medium">
        <color rgb="FF7799BB"/>
      </top>
      <bottom style="medium">
        <color rgb="FFEFEFEF"/>
      </bottom>
      <diagonal/>
    </border>
    <border>
      <left style="medium">
        <color rgb="FFEFEFEF"/>
      </left>
      <right style="medium">
        <color indexed="64"/>
      </right>
      <top style="medium">
        <color rgb="FF7799BB"/>
      </top>
      <bottom style="medium">
        <color rgb="FFEFEFEF"/>
      </bottom>
      <diagonal/>
    </border>
    <border>
      <left/>
      <right/>
      <top style="medium">
        <color rgb="FF7799BB"/>
      </top>
      <bottom style="medium">
        <color rgb="FF77BBCC"/>
      </bottom>
      <diagonal/>
    </border>
    <border>
      <left style="medium">
        <color rgb="FF808080"/>
      </left>
      <right style="medium">
        <color rgb="FF808080"/>
      </right>
      <top style="thin">
        <color indexed="64"/>
      </top>
      <bottom/>
      <diagonal/>
    </border>
    <border>
      <left style="medium">
        <color rgb="FF808080"/>
      </left>
      <right style="medium">
        <color rgb="FF808080"/>
      </right>
      <top/>
      <bottom style="medium">
        <color rgb="FF808080"/>
      </bottom>
      <diagonal/>
    </border>
    <border>
      <left style="medium">
        <color rgb="FF808080"/>
      </left>
      <right style="thin">
        <color indexed="64"/>
      </right>
      <top/>
      <bottom/>
      <diagonal/>
    </border>
    <border>
      <left style="medium">
        <color rgb="FFCCCCCC"/>
      </left>
      <right style="medium">
        <color rgb="FFCCCCCC"/>
      </right>
      <top style="medium">
        <color rgb="FF808080"/>
      </top>
      <bottom style="thin">
        <color indexed="64"/>
      </bottom>
      <diagonal/>
    </border>
    <border>
      <left/>
      <right style="thin">
        <color indexed="64"/>
      </right>
      <top style="medium">
        <color rgb="FF808080"/>
      </top>
      <bottom style="thin">
        <color indexed="64"/>
      </bottom>
      <diagonal/>
    </border>
    <border>
      <left style="thin">
        <color indexed="64"/>
      </left>
      <right style="medium">
        <color rgb="FF808080"/>
      </right>
      <top/>
      <bottom style="medium">
        <color rgb="FF808080"/>
      </bottom>
      <diagonal/>
    </border>
    <border>
      <left/>
      <right style="medium">
        <color indexed="64"/>
      </right>
      <top style="medium">
        <color rgb="FF7799BB"/>
      </top>
      <bottom style="medium">
        <color rgb="FF77BBCC"/>
      </bottom>
      <diagonal/>
    </border>
    <border>
      <left style="medium">
        <color indexed="64"/>
      </left>
      <right style="medium">
        <color rgb="FF666666"/>
      </right>
      <top/>
      <bottom/>
      <diagonal/>
    </border>
    <border>
      <left style="medium">
        <color indexed="64"/>
      </left>
      <right style="medium">
        <color rgb="FF666666"/>
      </right>
      <top style="medium">
        <color rgb="FF77BBCC"/>
      </top>
      <bottom style="medium">
        <color rgb="FF77BBCC"/>
      </bottom>
      <diagonal/>
    </border>
    <border>
      <left/>
      <right style="medium">
        <color rgb="FF666666"/>
      </right>
      <top style="medium">
        <color rgb="FF77BBCC"/>
      </top>
      <bottom style="medium">
        <color rgb="FF77BBCC"/>
      </bottom>
      <diagonal/>
    </border>
    <border>
      <left style="medium">
        <color indexed="64"/>
      </left>
      <right style="medium">
        <color rgb="FF666666"/>
      </right>
      <top style="medium">
        <color indexed="64"/>
      </top>
      <bottom/>
      <diagonal/>
    </border>
    <border>
      <left/>
      <right style="medium">
        <color rgb="FF666666"/>
      </right>
      <top style="medium">
        <color indexed="64"/>
      </top>
      <bottom/>
      <diagonal/>
    </border>
    <border>
      <left/>
      <right style="medium">
        <color rgb="FF666666"/>
      </right>
      <top/>
      <bottom style="medium">
        <color indexed="64"/>
      </bottom>
      <diagonal/>
    </border>
    <border>
      <left style="medium">
        <color indexed="64"/>
      </left>
      <right style="medium">
        <color rgb="FF666666"/>
      </right>
      <top style="thin">
        <color rgb="FF7799BB"/>
      </top>
      <bottom style="medium">
        <color rgb="FF77BBCC"/>
      </bottom>
      <diagonal/>
    </border>
    <border>
      <left/>
      <right style="medium">
        <color rgb="FF666666"/>
      </right>
      <top style="thin">
        <color rgb="FF7799BB"/>
      </top>
      <bottom style="medium">
        <color rgb="FF77BBCC"/>
      </bottom>
      <diagonal/>
    </border>
    <border>
      <left style="medium">
        <color indexed="64"/>
      </left>
      <right style="medium">
        <color rgb="FF666666"/>
      </right>
      <top style="medium">
        <color rgb="FF7799BB"/>
      </top>
      <bottom style="medium">
        <color rgb="FF77BBCC"/>
      </bottom>
      <diagonal/>
    </border>
    <border>
      <left/>
      <right style="medium">
        <color rgb="FF666666"/>
      </right>
      <top style="medium">
        <color rgb="FF7799BB"/>
      </top>
      <bottom style="medium">
        <color rgb="FF77BBCC"/>
      </bottom>
      <diagonal/>
    </border>
    <border>
      <left style="medium">
        <color indexed="64"/>
      </left>
      <right style="medium">
        <color rgb="FF666666"/>
      </right>
      <top style="medium">
        <color indexed="64"/>
      </top>
      <bottom style="medium">
        <color indexed="64"/>
      </bottom>
      <diagonal/>
    </border>
    <border>
      <left/>
      <right style="medium">
        <color rgb="FF666666"/>
      </right>
      <top style="medium">
        <color indexed="64"/>
      </top>
      <bottom style="medium">
        <color indexed="64"/>
      </bottom>
      <diagonal/>
    </border>
    <border>
      <left style="thin">
        <color indexed="64"/>
      </left>
      <right/>
      <top style="medium">
        <color rgb="FF808080"/>
      </top>
      <bottom style="thin">
        <color indexed="64"/>
      </bottom>
      <diagonal/>
    </border>
    <border>
      <left/>
      <right/>
      <top style="medium">
        <color rgb="FF808080"/>
      </top>
      <bottom style="thin">
        <color indexed="64"/>
      </bottom>
      <diagonal/>
    </border>
    <border>
      <left style="thin">
        <color indexed="64"/>
      </left>
      <right style="medium">
        <color rgb="FF808080"/>
      </right>
      <top style="thin">
        <color indexed="64"/>
      </top>
      <bottom style="medium">
        <color rgb="FF808080"/>
      </bottom>
      <diagonal/>
    </border>
    <border>
      <left style="medium">
        <color rgb="FF808080"/>
      </left>
      <right style="medium">
        <color rgb="FF808080"/>
      </right>
      <top style="thin">
        <color indexed="64"/>
      </top>
      <bottom style="medium">
        <color rgb="FF808080"/>
      </bottom>
      <diagonal/>
    </border>
    <border>
      <left style="medium">
        <color rgb="FF808080"/>
      </left>
      <right style="thin">
        <color indexed="64"/>
      </right>
      <top style="thin">
        <color indexed="64"/>
      </top>
      <bottom style="medium">
        <color rgb="FF808080"/>
      </bottom>
      <diagonal/>
    </border>
    <border>
      <left style="medium">
        <color rgb="FF808080"/>
      </left>
      <right style="thin">
        <color indexed="64"/>
      </right>
      <top/>
      <bottom style="medium">
        <color rgb="FF808080"/>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2"/>
      </left>
      <right style="thin">
        <color indexed="22"/>
      </right>
      <top style="thin">
        <color theme="3" tint="0.39994506668294322"/>
      </top>
      <bottom style="thin">
        <color theme="3" tint="0.39994506668294322"/>
      </bottom>
      <diagonal/>
    </border>
    <border>
      <left style="thin">
        <color indexed="22"/>
      </left>
      <right style="thin">
        <color indexed="22"/>
      </right>
      <top style="thin">
        <color indexed="64"/>
      </top>
      <bottom/>
      <diagonal/>
    </border>
    <border>
      <left/>
      <right style="thin">
        <color indexed="22"/>
      </right>
      <top style="thin">
        <color indexed="64"/>
      </top>
      <bottom/>
      <diagonal/>
    </border>
    <border>
      <left style="thin">
        <color indexed="22"/>
      </left>
      <right style="thin">
        <color indexed="64"/>
      </right>
      <top style="thin">
        <color indexed="64"/>
      </top>
      <bottom/>
      <diagonal/>
    </border>
    <border>
      <left/>
      <right style="thin">
        <color indexed="22"/>
      </right>
      <top/>
      <bottom/>
      <diagonal/>
    </border>
    <border>
      <left style="thin">
        <color indexed="22"/>
      </left>
      <right style="thin">
        <color indexed="22"/>
      </right>
      <top/>
      <bottom/>
      <diagonal/>
    </border>
    <border>
      <left style="thin">
        <color indexed="22"/>
      </left>
      <right/>
      <top/>
      <bottom style="double">
        <color indexed="64"/>
      </bottom>
      <diagonal/>
    </border>
    <border>
      <left style="thin">
        <color indexed="22"/>
      </left>
      <right style="thin">
        <color indexed="64"/>
      </right>
      <top/>
      <bottom style="double">
        <color indexed="64"/>
      </bottom>
      <diagonal/>
    </border>
    <border>
      <left/>
      <right style="thin">
        <color indexed="22"/>
      </right>
      <top style="thin">
        <color theme="3" tint="0.39994506668294322"/>
      </top>
      <bottom style="thin">
        <color theme="3" tint="0.39994506668294322"/>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auto="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290">
    <xf numFmtId="0" fontId="0" fillId="0" borderId="0" xfId="0"/>
    <xf numFmtId="0" fontId="0" fillId="0" borderId="0" xfId="0" applyAlignment="1">
      <alignment horizontal="center"/>
    </xf>
    <xf numFmtId="0" fontId="0" fillId="0" borderId="0" xfId="0" applyAlignment="1">
      <alignment horizontal="left"/>
    </xf>
    <xf numFmtId="44" fontId="2" fillId="0" borderId="0" xfId="2"/>
    <xf numFmtId="9" fontId="2" fillId="0" borderId="0" xfId="5" applyAlignment="1">
      <alignment horizontal="right"/>
    </xf>
    <xf numFmtId="43" fontId="2" fillId="0" borderId="0" xfId="1" applyAlignment="1">
      <alignment horizontal="right"/>
    </xf>
    <xf numFmtId="0" fontId="0" fillId="0" borderId="0" xfId="0" applyAlignment="1">
      <alignment wrapText="1"/>
    </xf>
    <xf numFmtId="0" fontId="7" fillId="0" borderId="0" xfId="0" applyFont="1" applyAlignment="1">
      <alignment horizontal="left" wrapText="1"/>
    </xf>
    <xf numFmtId="0" fontId="0" fillId="0" borderId="1" xfId="0" applyBorder="1"/>
    <xf numFmtId="0" fontId="0" fillId="3" borderId="2" xfId="0" applyFill="1" applyBorder="1"/>
    <xf numFmtId="0" fontId="13" fillId="4" borderId="1" xfId="0" applyFont="1" applyFill="1" applyBorder="1" applyAlignment="1">
      <alignment vertical="top" indent="2"/>
    </xf>
    <xf numFmtId="0" fontId="0" fillId="4" borderId="31" xfId="0" applyFill="1" applyBorder="1"/>
    <xf numFmtId="0" fontId="14" fillId="0" borderId="32" xfId="0" applyFont="1" applyBorder="1" applyAlignment="1">
      <alignment horizontal="right" vertical="top"/>
    </xf>
    <xf numFmtId="168" fontId="14" fillId="0" borderId="32" xfId="0" applyNumberFormat="1" applyFont="1" applyBorder="1" applyAlignment="1">
      <alignment horizontal="right" vertical="top"/>
    </xf>
    <xf numFmtId="169" fontId="14" fillId="0" borderId="32" xfId="0" applyNumberFormat="1" applyFont="1" applyBorder="1" applyAlignment="1">
      <alignment horizontal="right" vertical="top"/>
    </xf>
    <xf numFmtId="168" fontId="14" fillId="0" borderId="33" xfId="0" applyNumberFormat="1" applyFont="1" applyBorder="1" applyAlignment="1">
      <alignment horizontal="right" vertical="top"/>
    </xf>
    <xf numFmtId="170" fontId="15" fillId="0" borderId="34" xfId="0" applyNumberFormat="1" applyFont="1" applyBorder="1" applyAlignment="1">
      <alignment horizontal="right" vertical="top"/>
    </xf>
    <xf numFmtId="170" fontId="15" fillId="0" borderId="35" xfId="0" applyNumberFormat="1" applyFont="1" applyBorder="1" applyAlignment="1">
      <alignment horizontal="right" vertical="top"/>
    </xf>
    <xf numFmtId="170" fontId="15" fillId="5" borderId="3" xfId="0" applyNumberFormat="1" applyFont="1" applyFill="1" applyBorder="1" applyAlignment="1">
      <alignment horizontal="right" vertical="center"/>
    </xf>
    <xf numFmtId="170" fontId="15" fillId="5" borderId="4" xfId="0" applyNumberFormat="1" applyFont="1" applyFill="1" applyBorder="1" applyAlignment="1">
      <alignment horizontal="right" vertical="center"/>
    </xf>
    <xf numFmtId="0" fontId="0" fillId="3" borderId="5" xfId="0" applyFill="1" applyBorder="1"/>
    <xf numFmtId="0" fontId="0" fillId="3" borderId="6" xfId="0" applyFill="1" applyBorder="1"/>
    <xf numFmtId="170" fontId="15" fillId="0" borderId="36" xfId="0" applyNumberFormat="1" applyFont="1" applyBorder="1" applyAlignment="1">
      <alignment horizontal="right" vertical="center"/>
    </xf>
    <xf numFmtId="0" fontId="16" fillId="0" borderId="31" xfId="0" applyFont="1" applyBorder="1" applyAlignment="1">
      <alignment horizontal="right" vertical="top"/>
    </xf>
    <xf numFmtId="170" fontId="15" fillId="6" borderId="7" xfId="0" applyNumberFormat="1" applyFont="1" applyFill="1" applyBorder="1" applyAlignment="1">
      <alignment horizontal="right" vertical="center"/>
    </xf>
    <xf numFmtId="170" fontId="15" fillId="6" borderId="8" xfId="0" applyNumberFormat="1" applyFont="1" applyFill="1" applyBorder="1" applyAlignment="1">
      <alignment horizontal="right" vertical="center"/>
    </xf>
    <xf numFmtId="0" fontId="17" fillId="6" borderId="37" xfId="0" applyFont="1" applyFill="1" applyBorder="1" applyAlignment="1">
      <alignment horizontal="center" vertical="center"/>
    </xf>
    <xf numFmtId="0" fontId="17" fillId="6" borderId="38" xfId="0" applyFont="1" applyFill="1" applyBorder="1" applyAlignment="1">
      <alignment horizontal="center" vertical="center"/>
    </xf>
    <xf numFmtId="0" fontId="16" fillId="0" borderId="10" xfId="0" applyFont="1" applyBorder="1" applyAlignment="1">
      <alignment horizontal="left" vertical="top"/>
    </xf>
    <xf numFmtId="0" fontId="16" fillId="0" borderId="0" xfId="0" applyFont="1" applyAlignment="1">
      <alignment horizontal="right" vertical="top"/>
    </xf>
    <xf numFmtId="0" fontId="16" fillId="0" borderId="0" xfId="0" applyFont="1" applyAlignment="1">
      <alignment horizontal="left" vertical="top"/>
    </xf>
    <xf numFmtId="171" fontId="16" fillId="0" borderId="0" xfId="0" applyNumberFormat="1" applyFont="1" applyAlignment="1">
      <alignment horizontal="right" vertical="top"/>
    </xf>
    <xf numFmtId="172" fontId="17" fillId="0" borderId="39" xfId="0" applyNumberFormat="1" applyFont="1" applyBorder="1" applyAlignment="1">
      <alignment horizontal="right" vertical="top"/>
    </xf>
    <xf numFmtId="0" fontId="0" fillId="6" borderId="40" xfId="0" applyFill="1" applyBorder="1"/>
    <xf numFmtId="173" fontId="17" fillId="6" borderId="41" xfId="0" applyNumberFormat="1" applyFont="1" applyFill="1" applyBorder="1" applyAlignment="1">
      <alignment horizontal="right" vertical="top"/>
    </xf>
    <xf numFmtId="0" fontId="16" fillId="0" borderId="0" xfId="0" quotePrefix="1" applyFont="1" applyAlignment="1">
      <alignment horizontal="left" vertical="top"/>
    </xf>
    <xf numFmtId="174" fontId="0" fillId="0" borderId="0" xfId="0" applyNumberFormat="1"/>
    <xf numFmtId="172" fontId="17" fillId="7" borderId="39" xfId="0" applyNumberFormat="1" applyFont="1" applyFill="1" applyBorder="1" applyAlignment="1">
      <alignment horizontal="right" vertical="top"/>
    </xf>
    <xf numFmtId="0" fontId="16" fillId="7" borderId="10" xfId="0" applyFont="1" applyFill="1" applyBorder="1" applyAlignment="1">
      <alignment horizontal="left" vertical="top"/>
    </xf>
    <xf numFmtId="0" fontId="16" fillId="7" borderId="0" xfId="0" applyFont="1" applyFill="1" applyAlignment="1">
      <alignment horizontal="right" vertical="top"/>
    </xf>
    <xf numFmtId="0" fontId="16" fillId="7" borderId="0" xfId="0" applyFont="1" applyFill="1" applyAlignment="1">
      <alignment horizontal="left" vertical="top"/>
    </xf>
    <xf numFmtId="0" fontId="16" fillId="7" borderId="0" xfId="0" quotePrefix="1" applyFont="1" applyFill="1" applyAlignment="1">
      <alignment horizontal="left" vertical="top"/>
    </xf>
    <xf numFmtId="171" fontId="16" fillId="7" borderId="0" xfId="0" applyNumberFormat="1" applyFont="1" applyFill="1" applyAlignment="1">
      <alignment horizontal="right" vertical="top"/>
    </xf>
    <xf numFmtId="43" fontId="4" fillId="0" borderId="0" xfId="1" applyFont="1"/>
    <xf numFmtId="6" fontId="15" fillId="0" borderId="34" xfId="0" applyNumberFormat="1" applyFont="1" applyBorder="1" applyAlignment="1">
      <alignment horizontal="right" vertical="top"/>
    </xf>
    <xf numFmtId="1" fontId="14" fillId="0" borderId="32" xfId="0" applyNumberFormat="1" applyFont="1" applyBorder="1" applyAlignment="1">
      <alignment horizontal="right" vertical="top"/>
    </xf>
    <xf numFmtId="175" fontId="14" fillId="0" borderId="32" xfId="0" applyNumberFormat="1" applyFont="1" applyBorder="1" applyAlignment="1">
      <alignment horizontal="right" vertical="top"/>
    </xf>
    <xf numFmtId="170" fontId="0" fillId="0" borderId="0" xfId="0" applyNumberFormat="1"/>
    <xf numFmtId="0" fontId="0" fillId="3" borderId="0" xfId="0" applyFill="1"/>
    <xf numFmtId="170" fontId="15" fillId="0" borderId="43" xfId="0" applyNumberFormat="1" applyFont="1" applyBorder="1" applyAlignment="1">
      <alignment horizontal="right" vertical="center"/>
    </xf>
    <xf numFmtId="170" fontId="15" fillId="6" borderId="12" xfId="0" applyNumberFormat="1" applyFont="1" applyFill="1" applyBorder="1" applyAlignment="1">
      <alignment horizontal="right" vertical="center"/>
    </xf>
    <xf numFmtId="170" fontId="15" fillId="6" borderId="13" xfId="0" applyNumberFormat="1" applyFont="1" applyFill="1" applyBorder="1" applyAlignment="1">
      <alignment horizontal="right" vertical="center"/>
    </xf>
    <xf numFmtId="0" fontId="18" fillId="0" borderId="0" xfId="4" applyFont="1"/>
    <xf numFmtId="0" fontId="19" fillId="0" borderId="0" xfId="4" applyFont="1"/>
    <xf numFmtId="0" fontId="20" fillId="0" borderId="0" xfId="4" applyFont="1"/>
    <xf numFmtId="0" fontId="20" fillId="0" borderId="0" xfId="4" applyFont="1" applyAlignment="1">
      <alignment horizontal="center"/>
    </xf>
    <xf numFmtId="0" fontId="20" fillId="0" borderId="0" xfId="4" applyFont="1" applyAlignment="1">
      <alignment horizontal="center" wrapText="1"/>
    </xf>
    <xf numFmtId="164" fontId="19" fillId="0" borderId="0" xfId="5" applyNumberFormat="1" applyFont="1" applyFill="1"/>
    <xf numFmtId="165" fontId="19" fillId="2" borderId="0" xfId="1" applyNumberFormat="1" applyFont="1" applyFill="1"/>
    <xf numFmtId="165" fontId="19" fillId="0" borderId="11" xfId="1" applyNumberFormat="1" applyFont="1" applyBorder="1"/>
    <xf numFmtId="164" fontId="19" fillId="0" borderId="0" xfId="4" applyNumberFormat="1" applyFont="1"/>
    <xf numFmtId="165" fontId="19" fillId="0" borderId="14" xfId="1" applyNumberFormat="1" applyFont="1" applyBorder="1"/>
    <xf numFmtId="165" fontId="19" fillId="0" borderId="15" xfId="1" applyNumberFormat="1" applyFont="1" applyBorder="1"/>
    <xf numFmtId="165" fontId="19" fillId="0" borderId="16" xfId="1" applyNumberFormat="1" applyFont="1" applyBorder="1"/>
    <xf numFmtId="165" fontId="19" fillId="0" borderId="0" xfId="1" applyNumberFormat="1" applyFont="1"/>
    <xf numFmtId="43" fontId="19" fillId="0" borderId="0" xfId="1" applyFont="1"/>
    <xf numFmtId="165" fontId="19" fillId="0" borderId="0" xfId="4" applyNumberFormat="1" applyFont="1"/>
    <xf numFmtId="165" fontId="20" fillId="0" borderId="0" xfId="1" applyNumberFormat="1" applyFont="1"/>
    <xf numFmtId="165" fontId="20" fillId="0" borderId="0" xfId="1" applyNumberFormat="1" applyFont="1" applyAlignment="1">
      <alignment horizontal="right"/>
    </xf>
    <xf numFmtId="165" fontId="20" fillId="2" borderId="0" xfId="1" applyNumberFormat="1" applyFont="1" applyFill="1"/>
    <xf numFmtId="0" fontId="20" fillId="0" borderId="0" xfId="4" applyFont="1" applyAlignment="1">
      <alignment horizontal="right"/>
    </xf>
    <xf numFmtId="44" fontId="20" fillId="0" borderId="0" xfId="2" applyFont="1" applyBorder="1"/>
    <xf numFmtId="0" fontId="20" fillId="0" borderId="11" xfId="4" applyFont="1" applyBorder="1" applyAlignment="1">
      <alignment horizontal="center" wrapText="1"/>
    </xf>
    <xf numFmtId="44" fontId="20" fillId="0" borderId="11" xfId="4" applyNumberFormat="1" applyFont="1" applyBorder="1"/>
    <xf numFmtId="165" fontId="20" fillId="0" borderId="11" xfId="1" applyNumberFormat="1" applyFont="1" applyBorder="1"/>
    <xf numFmtId="166" fontId="20" fillId="0" borderId="11" xfId="4" applyNumberFormat="1" applyFont="1" applyBorder="1"/>
    <xf numFmtId="44" fontId="20" fillId="0" borderId="0" xfId="4" applyNumberFormat="1" applyFont="1"/>
    <xf numFmtId="1" fontId="20" fillId="0" borderId="0" xfId="4" applyNumberFormat="1" applyFont="1"/>
    <xf numFmtId="44" fontId="19" fillId="0" borderId="0" xfId="4" applyNumberFormat="1" applyFont="1"/>
    <xf numFmtId="0" fontId="8" fillId="0" borderId="0" xfId="0" applyFont="1"/>
    <xf numFmtId="0" fontId="7" fillId="0" borderId="0" xfId="0" applyFont="1" applyAlignment="1">
      <alignment horizontal="left" vertical="center" wrapText="1"/>
    </xf>
    <xf numFmtId="167" fontId="17" fillId="5" borderId="11" xfId="0" applyNumberFormat="1" applyFont="1" applyFill="1" applyBorder="1" applyAlignment="1">
      <alignment horizontal="center" vertical="center"/>
    </xf>
    <xf numFmtId="172" fontId="17" fillId="9" borderId="39" xfId="0" applyNumberFormat="1" applyFont="1" applyFill="1" applyBorder="1" applyAlignment="1">
      <alignment horizontal="right" vertical="top"/>
    </xf>
    <xf numFmtId="0" fontId="16" fillId="9" borderId="10" xfId="0" applyFont="1" applyFill="1" applyBorder="1" applyAlignment="1">
      <alignment horizontal="left" vertical="top"/>
    </xf>
    <xf numFmtId="0" fontId="16" fillId="9" borderId="0" xfId="0" applyFont="1" applyFill="1" applyAlignment="1">
      <alignment horizontal="right" vertical="top"/>
    </xf>
    <xf numFmtId="0" fontId="16" fillId="9" borderId="0" xfId="0" applyFont="1" applyFill="1" applyAlignment="1">
      <alignment horizontal="left" vertical="top"/>
    </xf>
    <xf numFmtId="0" fontId="16" fillId="9" borderId="0" xfId="0" quotePrefix="1" applyFont="1" applyFill="1" applyAlignment="1">
      <alignment horizontal="left" vertical="top"/>
    </xf>
    <xf numFmtId="171" fontId="16" fillId="9" borderId="0" xfId="0" applyNumberFormat="1" applyFont="1" applyFill="1" applyAlignment="1">
      <alignment horizontal="right" vertical="top"/>
    </xf>
    <xf numFmtId="0" fontId="11" fillId="0" borderId="0" xfId="0" applyFont="1"/>
    <xf numFmtId="172" fontId="23" fillId="0" borderId="39" xfId="0" applyNumberFormat="1" applyFont="1" applyBorder="1" applyAlignment="1">
      <alignment horizontal="center" vertical="center"/>
    </xf>
    <xf numFmtId="172" fontId="24" fillId="0" borderId="39" xfId="0" applyNumberFormat="1" applyFont="1" applyBorder="1" applyAlignment="1">
      <alignment horizontal="center" vertical="center"/>
    </xf>
    <xf numFmtId="172" fontId="24" fillId="7" borderId="39" xfId="0" applyNumberFormat="1" applyFont="1" applyFill="1" applyBorder="1" applyAlignment="1">
      <alignment horizontal="center" vertical="center"/>
    </xf>
    <xf numFmtId="172" fontId="23" fillId="7" borderId="39" xfId="0" applyNumberFormat="1" applyFont="1" applyFill="1" applyBorder="1" applyAlignment="1">
      <alignment horizontal="center" vertical="center"/>
    </xf>
    <xf numFmtId="172" fontId="23" fillId="9" borderId="39" xfId="0" applyNumberFormat="1" applyFont="1" applyFill="1" applyBorder="1" applyAlignment="1">
      <alignment horizontal="center" vertical="center"/>
    </xf>
    <xf numFmtId="173" fontId="17" fillId="6" borderId="41" xfId="0" applyNumberFormat="1" applyFont="1" applyFill="1" applyBorder="1" applyAlignment="1">
      <alignment horizontal="center" vertical="top"/>
    </xf>
    <xf numFmtId="0" fontId="0" fillId="0" borderId="0" xfId="0" applyAlignment="1">
      <alignment vertical="center"/>
    </xf>
    <xf numFmtId="0" fontId="11" fillId="0" borderId="0" xfId="0" applyFont="1" applyAlignment="1">
      <alignment horizontal="left" wrapText="1"/>
    </xf>
    <xf numFmtId="168" fontId="14" fillId="10" borderId="32" xfId="0" applyNumberFormat="1" applyFont="1" applyFill="1" applyBorder="1" applyAlignment="1">
      <alignment horizontal="right" vertical="top"/>
    </xf>
    <xf numFmtId="0" fontId="5" fillId="0" borderId="0" xfId="0" applyFont="1"/>
    <xf numFmtId="173" fontId="26" fillId="6" borderId="41" xfId="0" applyNumberFormat="1" applyFont="1" applyFill="1" applyBorder="1" applyAlignment="1">
      <alignment horizontal="center" vertical="top"/>
    </xf>
    <xf numFmtId="43" fontId="11" fillId="0" borderId="66" xfId="1" applyFont="1" applyBorder="1"/>
    <xf numFmtId="0" fontId="28" fillId="6" borderId="23" xfId="0" applyFont="1" applyFill="1" applyBorder="1" applyAlignment="1">
      <alignment horizontal="center" vertical="center" wrapText="1"/>
    </xf>
    <xf numFmtId="0" fontId="28" fillId="6" borderId="62" xfId="0" applyFont="1" applyFill="1" applyBorder="1" applyAlignment="1">
      <alignment horizontal="center" vertical="center" wrapText="1"/>
    </xf>
    <xf numFmtId="0" fontId="28" fillId="6" borderId="63"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12" xfId="0" applyBorder="1"/>
    <xf numFmtId="43" fontId="2" fillId="0" borderId="12" xfId="1" applyBorder="1" applyAlignment="1">
      <alignment horizontal="right"/>
    </xf>
    <xf numFmtId="0" fontId="11" fillId="0" borderId="64" xfId="0" applyFont="1" applyBorder="1" applyAlignment="1">
      <alignment horizontal="center"/>
    </xf>
    <xf numFmtId="0" fontId="11" fillId="0" borderId="65" xfId="0" applyFont="1" applyBorder="1" applyAlignment="1">
      <alignment horizontal="center"/>
    </xf>
    <xf numFmtId="0" fontId="31" fillId="0" borderId="0" xfId="6" applyFont="1"/>
    <xf numFmtId="0" fontId="33" fillId="0" borderId="0" xfId="6" applyFont="1"/>
    <xf numFmtId="0" fontId="33" fillId="0" borderId="1" xfId="6" applyFont="1" applyBorder="1"/>
    <xf numFmtId="0" fontId="33" fillId="0" borderId="17" xfId="6" applyFont="1" applyBorder="1"/>
    <xf numFmtId="0" fontId="33" fillId="0" borderId="12" xfId="6" applyFont="1" applyBorder="1"/>
    <xf numFmtId="0" fontId="33" fillId="0" borderId="13" xfId="6" applyFont="1" applyBorder="1"/>
    <xf numFmtId="0" fontId="33" fillId="0" borderId="2" xfId="6" applyFont="1" applyBorder="1"/>
    <xf numFmtId="0" fontId="33" fillId="0" borderId="0" xfId="6" applyFont="1" applyAlignment="1">
      <alignment horizontal="left" indent="4"/>
    </xf>
    <xf numFmtId="43" fontId="34" fillId="12" borderId="68" xfId="1" applyFont="1" applyFill="1" applyBorder="1" applyAlignment="1">
      <alignment horizontal="center" wrapText="1"/>
    </xf>
    <xf numFmtId="0" fontId="34" fillId="12" borderId="69" xfId="0" applyFont="1" applyFill="1" applyBorder="1" applyAlignment="1">
      <alignment horizontal="center"/>
    </xf>
    <xf numFmtId="0" fontId="34" fillId="12" borderId="68" xfId="0" applyFont="1" applyFill="1" applyBorder="1" applyAlignment="1">
      <alignment horizontal="center"/>
    </xf>
    <xf numFmtId="44" fontId="34" fillId="12" borderId="68" xfId="2" applyFont="1" applyFill="1" applyBorder="1" applyAlignment="1">
      <alignment horizontal="center" wrapText="1"/>
    </xf>
    <xf numFmtId="0" fontId="34" fillId="12" borderId="70" xfId="0" applyFont="1" applyFill="1" applyBorder="1" applyAlignment="1">
      <alignment horizontal="center" wrapText="1"/>
    </xf>
    <xf numFmtId="0" fontId="8" fillId="0" borderId="71" xfId="0" applyFont="1" applyBorder="1" applyAlignment="1">
      <alignment horizontal="center"/>
    </xf>
    <xf numFmtId="44" fontId="8" fillId="0" borderId="72" xfId="2" applyFont="1" applyBorder="1"/>
    <xf numFmtId="0" fontId="8" fillId="0" borderId="72" xfId="0" applyFont="1" applyBorder="1" applyAlignment="1">
      <alignment horizontal="center"/>
    </xf>
    <xf numFmtId="44" fontId="8" fillId="11" borderId="67" xfId="2" applyFont="1" applyFill="1" applyBorder="1"/>
    <xf numFmtId="0" fontId="8" fillId="11" borderId="75" xfId="0" applyFont="1" applyFill="1" applyBorder="1" applyAlignment="1">
      <alignment horizontal="center"/>
    </xf>
    <xf numFmtId="0" fontId="8" fillId="11" borderId="67" xfId="0" applyFont="1" applyFill="1" applyBorder="1" applyAlignment="1">
      <alignment horizontal="center"/>
    </xf>
    <xf numFmtId="44" fontId="25" fillId="11" borderId="67" xfId="2" applyFont="1" applyFill="1" applyBorder="1"/>
    <xf numFmtId="43" fontId="34" fillId="12" borderId="68" xfId="1" applyFont="1" applyFill="1" applyBorder="1" applyAlignment="1">
      <alignment horizontal="left" wrapText="1"/>
    </xf>
    <xf numFmtId="44" fontId="9" fillId="13" borderId="9" xfId="2" applyFont="1" applyFill="1" applyBorder="1"/>
    <xf numFmtId="44" fontId="9" fillId="13" borderId="73" xfId="2" applyFont="1" applyFill="1" applyBorder="1"/>
    <xf numFmtId="0" fontId="8" fillId="13" borderId="9" xfId="0" applyFont="1" applyFill="1" applyBorder="1"/>
    <xf numFmtId="9" fontId="9" fillId="13" borderId="73" xfId="5" applyFont="1" applyFill="1" applyBorder="1"/>
    <xf numFmtId="9" fontId="8" fillId="11" borderId="67" xfId="5" applyFont="1" applyFill="1" applyBorder="1"/>
    <xf numFmtId="9" fontId="8" fillId="0" borderId="72" xfId="5" applyFont="1" applyBorder="1"/>
    <xf numFmtId="9" fontId="25" fillId="11" borderId="67" xfId="5" applyFont="1" applyFill="1" applyBorder="1"/>
    <xf numFmtId="9" fontId="22" fillId="13" borderId="73" xfId="5" applyFont="1" applyFill="1" applyBorder="1"/>
    <xf numFmtId="44" fontId="22" fillId="13" borderId="74" xfId="2" applyFont="1" applyFill="1" applyBorder="1"/>
    <xf numFmtId="0" fontId="8" fillId="0" borderId="0" xfId="0" applyFont="1" applyAlignment="1">
      <alignment horizontal="center"/>
    </xf>
    <xf numFmtId="44" fontId="8" fillId="0" borderId="0" xfId="2" applyFont="1"/>
    <xf numFmtId="9" fontId="25" fillId="0" borderId="67" xfId="5" applyFont="1" applyFill="1" applyBorder="1"/>
    <xf numFmtId="44" fontId="8" fillId="0" borderId="72" xfId="2" applyFont="1" applyFill="1" applyBorder="1"/>
    <xf numFmtId="44" fontId="25" fillId="0" borderId="67" xfId="2" applyFont="1" applyFill="1" applyBorder="1"/>
    <xf numFmtId="0" fontId="30" fillId="0" borderId="0" xfId="6" applyFont="1" applyAlignment="1">
      <alignment horizontal="center"/>
    </xf>
    <xf numFmtId="0" fontId="32" fillId="0" borderId="0" xfId="6" applyFont="1"/>
    <xf numFmtId="0" fontId="7" fillId="0" borderId="0" xfId="3" applyFont="1"/>
    <xf numFmtId="0" fontId="32" fillId="0" borderId="0" xfId="6" applyFont="1" applyAlignment="1">
      <alignment horizontal="left"/>
    </xf>
    <xf numFmtId="0" fontId="32" fillId="14" borderId="19" xfId="6" applyFont="1" applyFill="1" applyBorder="1"/>
    <xf numFmtId="0" fontId="32" fillId="14" borderId="7" xfId="6" applyFont="1" applyFill="1" applyBorder="1"/>
    <xf numFmtId="0" fontId="33" fillId="14" borderId="8" xfId="6" applyFont="1" applyFill="1" applyBorder="1"/>
    <xf numFmtId="0" fontId="32" fillId="0" borderId="1" xfId="6" applyFont="1" applyBorder="1"/>
    <xf numFmtId="0" fontId="32" fillId="14" borderId="3" xfId="6" applyFont="1" applyFill="1" applyBorder="1"/>
    <xf numFmtId="0" fontId="32" fillId="0" borderId="0" xfId="6" applyFont="1" applyAlignment="1">
      <alignment horizontal="center"/>
    </xf>
    <xf numFmtId="0" fontId="33" fillId="14" borderId="0" xfId="6" applyFont="1" applyFill="1"/>
    <xf numFmtId="0" fontId="33" fillId="14" borderId="77" xfId="6" applyFont="1" applyFill="1" applyBorder="1"/>
    <xf numFmtId="0" fontId="33" fillId="14" borderId="3" xfId="6" applyFont="1" applyFill="1" applyBorder="1"/>
    <xf numFmtId="0" fontId="33" fillId="0" borderId="0" xfId="6" applyFont="1" applyAlignment="1">
      <alignment horizontal="left" wrapText="1"/>
    </xf>
    <xf numFmtId="0" fontId="33" fillId="0" borderId="0" xfId="6" applyFont="1" applyAlignment="1">
      <alignment horizontal="left"/>
    </xf>
    <xf numFmtId="0" fontId="33" fillId="0" borderId="0" xfId="6" applyFont="1" applyAlignment="1">
      <alignment vertical="center"/>
    </xf>
    <xf numFmtId="0" fontId="33" fillId="0" borderId="1" xfId="6" applyFont="1" applyBorder="1" applyAlignment="1">
      <alignment vertical="center"/>
    </xf>
    <xf numFmtId="0" fontId="33" fillId="0" borderId="0" xfId="6" applyFont="1" applyAlignment="1">
      <alignment horizontal="left" vertical="center"/>
    </xf>
    <xf numFmtId="44" fontId="33" fillId="0" borderId="0" xfId="7" applyFont="1" applyFill="1" applyBorder="1" applyAlignment="1">
      <alignment vertical="center"/>
    </xf>
    <xf numFmtId="0" fontId="33" fillId="0" borderId="2" xfId="6" applyFont="1" applyBorder="1" applyAlignment="1">
      <alignment vertical="center"/>
    </xf>
    <xf numFmtId="0" fontId="33" fillId="9" borderId="30" xfId="6" applyFont="1" applyFill="1" applyBorder="1" applyAlignment="1">
      <alignment horizontal="center"/>
    </xf>
    <xf numFmtId="0" fontId="39" fillId="0" borderId="0" xfId="6" applyFont="1"/>
    <xf numFmtId="0" fontId="33" fillId="9" borderId="30" xfId="6" applyFont="1" applyFill="1" applyBorder="1"/>
    <xf numFmtId="0" fontId="33" fillId="9" borderId="30" xfId="6" applyFont="1" applyFill="1" applyBorder="1" applyAlignment="1">
      <alignment horizontal="left"/>
    </xf>
    <xf numFmtId="0" fontId="33" fillId="9" borderId="30" xfId="6" applyFont="1" applyFill="1" applyBorder="1" applyAlignment="1">
      <alignment horizontal="right"/>
    </xf>
    <xf numFmtId="0" fontId="33" fillId="0" borderId="0" xfId="6" applyFont="1" applyAlignment="1">
      <alignment horizontal="center"/>
    </xf>
    <xf numFmtId="0" fontId="33" fillId="9" borderId="76" xfId="6" applyFont="1" applyFill="1" applyBorder="1"/>
    <xf numFmtId="0" fontId="0" fillId="0" borderId="30" xfId="0" applyBorder="1"/>
    <xf numFmtId="4" fontId="33" fillId="0" borderId="0" xfId="2" applyNumberFormat="1" applyFont="1" applyFill="1" applyBorder="1" applyAlignment="1"/>
    <xf numFmtId="176" fontId="33" fillId="0" borderId="0" xfId="6" applyNumberFormat="1" applyFont="1" applyAlignment="1">
      <alignment horizontal="right"/>
    </xf>
    <xf numFmtId="165" fontId="19" fillId="2" borderId="30" xfId="1" applyNumberFormat="1" applyFont="1" applyFill="1" applyBorder="1"/>
    <xf numFmtId="43" fontId="27" fillId="11" borderId="78" xfId="1" applyFont="1" applyFill="1" applyBorder="1"/>
    <xf numFmtId="9" fontId="2" fillId="0" borderId="0" xfId="5" applyBorder="1" applyAlignment="1">
      <alignment horizontal="right"/>
    </xf>
    <xf numFmtId="43" fontId="11" fillId="11" borderId="78" xfId="1" applyFont="1" applyFill="1" applyBorder="1"/>
    <xf numFmtId="0" fontId="8" fillId="0" borderId="79" xfId="0" applyFont="1" applyBorder="1" applyAlignment="1">
      <alignment horizontal="center" wrapText="1"/>
    </xf>
    <xf numFmtId="0" fontId="11" fillId="0" borderId="79" xfId="0" applyFont="1" applyBorder="1"/>
    <xf numFmtId="0" fontId="8" fillId="13" borderId="9" xfId="0" applyFont="1" applyFill="1" applyBorder="1" applyAlignment="1">
      <alignment horizontal="center"/>
    </xf>
    <xf numFmtId="0" fontId="28" fillId="6" borderId="80" xfId="0" applyFont="1" applyFill="1" applyBorder="1" applyAlignment="1">
      <alignment horizontal="center" vertical="center" wrapText="1"/>
    </xf>
    <xf numFmtId="43" fontId="27" fillId="0" borderId="80" xfId="1" applyFont="1" applyBorder="1"/>
    <xf numFmtId="43" fontId="11" fillId="0" borderId="78" xfId="1" applyFont="1" applyBorder="1"/>
    <xf numFmtId="0" fontId="8" fillId="0" borderId="21" xfId="0" applyFont="1" applyBorder="1" applyAlignment="1">
      <alignment horizontal="center" wrapText="1"/>
    </xf>
    <xf numFmtId="0" fontId="11" fillId="0" borderId="21" xfId="0" applyFont="1" applyBorder="1"/>
    <xf numFmtId="0" fontId="28" fillId="6" borderId="81" xfId="0" applyFont="1" applyFill="1" applyBorder="1" applyAlignment="1">
      <alignment horizontal="center" vertical="center" wrapText="1"/>
    </xf>
    <xf numFmtId="0" fontId="35" fillId="0" borderId="0" xfId="0" applyFont="1" applyAlignment="1">
      <alignment horizontal="left" vertical="center" indent="1" readingOrder="1"/>
    </xf>
    <xf numFmtId="0" fontId="18" fillId="0" borderId="0" xfId="4" applyFont="1" applyAlignment="1">
      <alignment horizontal="left" indent="2"/>
    </xf>
    <xf numFmtId="0" fontId="20" fillId="0" borderId="30" xfId="4" applyFont="1" applyBorder="1" applyAlignment="1">
      <alignment horizontal="left" indent="2"/>
    </xf>
    <xf numFmtId="0" fontId="20" fillId="0" borderId="0" xfId="4" applyFont="1" applyAlignment="1">
      <alignment horizontal="left" indent="2"/>
    </xf>
    <xf numFmtId="0" fontId="19" fillId="0" borderId="0" xfId="4" applyFont="1" applyAlignment="1">
      <alignment horizontal="left" indent="2"/>
    </xf>
    <xf numFmtId="0" fontId="11" fillId="0" borderId="0" xfId="4" applyFont="1"/>
    <xf numFmtId="0" fontId="17" fillId="10" borderId="37" xfId="0" applyFont="1" applyFill="1" applyBorder="1" applyAlignment="1">
      <alignment horizontal="center" vertical="center"/>
    </xf>
    <xf numFmtId="0" fontId="17" fillId="10" borderId="38" xfId="0" applyFont="1" applyFill="1" applyBorder="1" applyAlignment="1">
      <alignment horizontal="center" vertical="center"/>
    </xf>
    <xf numFmtId="0" fontId="2" fillId="0" borderId="0" xfId="0" applyFont="1"/>
    <xf numFmtId="0" fontId="7" fillId="0" borderId="0" xfId="0" applyFont="1"/>
    <xf numFmtId="0" fontId="2" fillId="0" borderId="0" xfId="0" applyFont="1" applyAlignment="1">
      <alignment vertical="center"/>
    </xf>
    <xf numFmtId="43" fontId="2" fillId="0" borderId="0" xfId="1" applyFont="1" applyAlignment="1">
      <alignment horizontal="right"/>
    </xf>
    <xf numFmtId="9" fontId="2" fillId="0" borderId="0" xfId="5" applyFont="1" applyAlignment="1">
      <alignment horizontal="right"/>
    </xf>
    <xf numFmtId="0" fontId="2" fillId="0" borderId="0" xfId="0" applyFont="1" applyAlignment="1">
      <alignment horizontal="left"/>
    </xf>
    <xf numFmtId="0" fontId="2" fillId="0" borderId="0" xfId="0" applyFont="1" applyAlignment="1">
      <alignment vertical="top" wrapText="1"/>
    </xf>
    <xf numFmtId="0" fontId="2" fillId="0" borderId="0" xfId="0" applyFont="1" applyAlignment="1">
      <alignment horizontal="left" vertical="center"/>
    </xf>
    <xf numFmtId="0" fontId="33" fillId="9" borderId="76" xfId="6" applyFont="1" applyFill="1" applyBorder="1" applyAlignment="1">
      <alignment horizontal="center"/>
    </xf>
    <xf numFmtId="43" fontId="11" fillId="11" borderId="11" xfId="1" applyFont="1" applyFill="1" applyBorder="1"/>
    <xf numFmtId="0" fontId="11" fillId="11" borderId="11" xfId="0" applyFont="1" applyFill="1" applyBorder="1" applyAlignment="1">
      <alignment horizontal="center"/>
    </xf>
    <xf numFmtId="0" fontId="40" fillId="0" borderId="0" xfId="3" applyFont="1"/>
    <xf numFmtId="0" fontId="44" fillId="0" borderId="0" xfId="0" applyFont="1" applyAlignment="1">
      <alignment horizontal="left" vertical="center" wrapText="1" indent="1" readingOrder="1"/>
    </xf>
    <xf numFmtId="0" fontId="43" fillId="0" borderId="0" xfId="0" applyFont="1" applyAlignment="1">
      <alignment horizontal="left" vertical="center" readingOrder="1"/>
    </xf>
    <xf numFmtId="0" fontId="43" fillId="0" borderId="0" xfId="3" applyFont="1" applyAlignment="1">
      <alignment vertical="top"/>
    </xf>
    <xf numFmtId="0" fontId="43" fillId="0" borderId="0" xfId="3" applyFont="1"/>
    <xf numFmtId="0" fontId="12" fillId="0" borderId="0" xfId="3" applyFont="1" applyAlignment="1">
      <alignment horizontal="left" vertical="center" wrapText="1" readingOrder="1"/>
    </xf>
    <xf numFmtId="0" fontId="43" fillId="0" borderId="0" xfId="3" applyFont="1" applyAlignment="1">
      <alignment horizontal="left" wrapText="1"/>
    </xf>
    <xf numFmtId="0" fontId="40" fillId="0" borderId="0" xfId="3" applyFont="1" applyAlignment="1">
      <alignment vertical="top"/>
    </xf>
    <xf numFmtId="0" fontId="35" fillId="0" borderId="0" xfId="0" applyFont="1" applyAlignment="1">
      <alignment horizontal="left" vertical="center" readingOrder="1"/>
    </xf>
    <xf numFmtId="0" fontId="36" fillId="0" borderId="0" xfId="0" applyFont="1" applyAlignment="1">
      <alignment horizontal="left" vertical="center" indent="1" readingOrder="1"/>
    </xf>
    <xf numFmtId="0" fontId="45" fillId="0" borderId="0" xfId="3" applyFont="1" applyAlignment="1">
      <alignment horizontal="left" readingOrder="1"/>
    </xf>
    <xf numFmtId="0" fontId="46" fillId="0" borderId="0" xfId="3" applyFont="1"/>
    <xf numFmtId="0" fontId="43" fillId="0" borderId="0" xfId="3" applyFont="1" applyAlignment="1">
      <alignment vertical="top" wrapText="1"/>
    </xf>
    <xf numFmtId="0" fontId="48" fillId="0" borderId="0" xfId="0" applyFont="1" applyAlignment="1">
      <alignment horizontal="left" vertical="center" readingOrder="1"/>
    </xf>
    <xf numFmtId="0" fontId="35" fillId="0" borderId="0" xfId="0" applyFont="1" applyAlignment="1">
      <alignment horizontal="left" vertical="center" wrapText="1" readingOrder="1"/>
    </xf>
    <xf numFmtId="0" fontId="49" fillId="0" borderId="0" xfId="3" applyFont="1" applyAlignment="1">
      <alignment horizontal="center"/>
    </xf>
    <xf numFmtId="0" fontId="20" fillId="0" borderId="30" xfId="4" applyFont="1" applyBorder="1" applyAlignment="1">
      <alignment horizontal="center"/>
    </xf>
    <xf numFmtId="0" fontId="40" fillId="0" borderId="0" xfId="0" applyFont="1" applyAlignment="1">
      <alignment horizontal="center"/>
    </xf>
    <xf numFmtId="0" fontId="17" fillId="3" borderId="18" xfId="0" applyFont="1" applyFill="1" applyBorder="1" applyAlignment="1">
      <alignment vertical="center"/>
    </xf>
    <xf numFmtId="0" fontId="0" fillId="3" borderId="5" xfId="0" applyFill="1" applyBorder="1"/>
    <xf numFmtId="0" fontId="0" fillId="8" borderId="0" xfId="0" applyFill="1"/>
    <xf numFmtId="0" fontId="21" fillId="8" borderId="0" xfId="0" applyFont="1" applyFill="1" applyAlignment="1">
      <alignment horizontal="center" vertical="center"/>
    </xf>
    <xf numFmtId="0" fontId="0" fillId="5" borderId="19" xfId="0" applyFill="1" applyBorder="1"/>
    <xf numFmtId="0" fontId="0" fillId="5" borderId="20" xfId="0" applyFill="1" applyBorder="1"/>
    <xf numFmtId="0" fontId="0" fillId="0" borderId="1" xfId="0" applyBorder="1"/>
    <xf numFmtId="0" fontId="0" fillId="5" borderId="21" xfId="0" applyFill="1" applyBorder="1"/>
    <xf numFmtId="0" fontId="0" fillId="0" borderId="22" xfId="0" applyBorder="1"/>
    <xf numFmtId="0" fontId="0" fillId="5" borderId="23" xfId="0" applyFill="1" applyBorder="1"/>
    <xf numFmtId="0" fontId="17" fillId="5" borderId="24" xfId="0" applyFont="1" applyFill="1" applyBorder="1" applyAlignment="1">
      <alignment horizontal="center" vertical="center"/>
    </xf>
    <xf numFmtId="0" fontId="0" fillId="5" borderId="25" xfId="0" applyFill="1" applyBorder="1"/>
    <xf numFmtId="0" fontId="0" fillId="5" borderId="26" xfId="0" applyFill="1" applyBorder="1"/>
    <xf numFmtId="0" fontId="17" fillId="5" borderId="27" xfId="0" applyFont="1" applyFill="1" applyBorder="1" applyAlignment="1">
      <alignment horizontal="center" wrapText="1"/>
    </xf>
    <xf numFmtId="0" fontId="0" fillId="0" borderId="28" xfId="0" applyBorder="1" applyAlignment="1">
      <alignment wrapText="1"/>
    </xf>
    <xf numFmtId="0" fontId="0" fillId="0" borderId="29" xfId="0" applyBorder="1" applyAlignment="1">
      <alignment wrapText="1"/>
    </xf>
    <xf numFmtId="0" fontId="17" fillId="5" borderId="23" xfId="0" applyFont="1" applyFill="1" applyBorder="1" applyAlignment="1">
      <alignment horizontal="center" vertical="center"/>
    </xf>
    <xf numFmtId="0" fontId="0" fillId="5" borderId="30" xfId="0" applyFill="1" applyBorder="1"/>
    <xf numFmtId="0" fontId="17" fillId="3" borderId="1" xfId="0" applyFont="1" applyFill="1" applyBorder="1" applyAlignment="1">
      <alignment vertical="center"/>
    </xf>
    <xf numFmtId="0" fontId="0" fillId="3" borderId="0" xfId="0" applyFill="1"/>
    <xf numFmtId="0" fontId="17" fillId="4" borderId="50" xfId="0" applyFont="1" applyFill="1" applyBorder="1" applyAlignment="1">
      <alignment horizontal="right" vertical="center"/>
    </xf>
    <xf numFmtId="0" fontId="0" fillId="4" borderId="51" xfId="0" applyFill="1" applyBorder="1"/>
    <xf numFmtId="0" fontId="17" fillId="4" borderId="52" xfId="0" applyFont="1" applyFill="1" applyBorder="1" applyAlignment="1">
      <alignment horizontal="right" vertical="center"/>
    </xf>
    <xf numFmtId="0" fontId="0" fillId="4" borderId="53" xfId="0" applyFill="1" applyBorder="1"/>
    <xf numFmtId="0" fontId="17" fillId="5" borderId="54" xfId="0" applyFont="1" applyFill="1" applyBorder="1" applyAlignment="1">
      <alignment horizontal="right" vertical="center"/>
    </xf>
    <xf numFmtId="0" fontId="0" fillId="5" borderId="55" xfId="0" applyFill="1" applyBorder="1"/>
    <xf numFmtId="0" fontId="0" fillId="0" borderId="0" xfId="0"/>
    <xf numFmtId="0" fontId="13" fillId="4" borderId="44" xfId="0" applyFont="1" applyFill="1" applyBorder="1" applyAlignment="1">
      <alignment horizontal="right" vertical="top"/>
    </xf>
    <xf numFmtId="0" fontId="0" fillId="4" borderId="31" xfId="0" applyFill="1" applyBorder="1"/>
    <xf numFmtId="0" fontId="17" fillId="4" borderId="45" xfId="0" applyFont="1" applyFill="1" applyBorder="1" applyAlignment="1">
      <alignment horizontal="right" vertical="center"/>
    </xf>
    <xf numFmtId="0" fontId="0" fillId="4" borderId="46" xfId="0" applyFill="1" applyBorder="1"/>
    <xf numFmtId="0" fontId="17" fillId="3" borderId="1" xfId="0" applyFont="1" applyFill="1" applyBorder="1" applyAlignment="1">
      <alignment horizontal="left" vertical="center"/>
    </xf>
    <xf numFmtId="0" fontId="16" fillId="0" borderId="44" xfId="0" applyFont="1" applyBorder="1" applyAlignment="1">
      <alignment horizontal="right" vertical="top"/>
    </xf>
    <xf numFmtId="0" fontId="0" fillId="0" borderId="31" xfId="0" applyBorder="1"/>
    <xf numFmtId="0" fontId="17" fillId="6" borderId="47" xfId="0" applyFont="1" applyFill="1" applyBorder="1" applyAlignment="1">
      <alignment horizontal="right" vertical="center"/>
    </xf>
    <xf numFmtId="0" fontId="0" fillId="6" borderId="48" xfId="0" applyFill="1" applyBorder="1"/>
    <xf numFmtId="0" fontId="17" fillId="6" borderId="17" xfId="0" applyFont="1" applyFill="1" applyBorder="1" applyAlignment="1">
      <alignment horizontal="right" vertical="center"/>
    </xf>
    <xf numFmtId="0" fontId="0" fillId="6" borderId="49" xfId="0" applyFill="1" applyBorder="1"/>
    <xf numFmtId="0" fontId="17" fillId="6" borderId="59" xfId="0" applyFont="1" applyFill="1" applyBorder="1" applyAlignment="1">
      <alignment horizontal="center" vertical="center"/>
    </xf>
    <xf numFmtId="0" fontId="0" fillId="6" borderId="38" xfId="0" applyFill="1" applyBorder="1"/>
    <xf numFmtId="0" fontId="17" fillId="6" borderId="60" xfId="0" applyFont="1" applyFill="1" applyBorder="1" applyAlignment="1">
      <alignment horizontal="center" vertical="center"/>
    </xf>
    <xf numFmtId="0" fontId="0" fillId="6" borderId="61" xfId="0" applyFill="1" applyBorder="1"/>
    <xf numFmtId="0" fontId="8" fillId="0" borderId="0" xfId="0" applyFont="1" applyAlignment="1">
      <alignment horizontal="left" wrapText="1"/>
    </xf>
    <xf numFmtId="0" fontId="17" fillId="6" borderId="56" xfId="0" applyFont="1" applyFill="1" applyBorder="1" applyAlignment="1">
      <alignment vertical="top"/>
    </xf>
    <xf numFmtId="0" fontId="5" fillId="6" borderId="57" xfId="0" applyFont="1" applyFill="1" applyBorder="1"/>
    <xf numFmtId="0" fontId="0" fillId="6" borderId="57" xfId="0" applyFill="1" applyBorder="1"/>
    <xf numFmtId="0" fontId="17" fillId="6" borderId="58" xfId="0" applyFont="1" applyFill="1" applyBorder="1" applyAlignment="1">
      <alignment horizontal="center" vertical="center"/>
    </xf>
    <xf numFmtId="0" fontId="0" fillId="6" borderId="42" xfId="0" applyFill="1" applyBorder="1"/>
    <xf numFmtId="0" fontId="17" fillId="10" borderId="59" xfId="0" applyFont="1" applyFill="1" applyBorder="1" applyAlignment="1">
      <alignment horizontal="center" vertical="center"/>
    </xf>
    <xf numFmtId="0" fontId="0" fillId="10" borderId="38" xfId="0" applyFill="1" applyBorder="1"/>
    <xf numFmtId="0" fontId="21" fillId="8" borderId="30" xfId="0" applyFont="1" applyFill="1" applyBorder="1" applyAlignment="1">
      <alignment horizontal="center" vertical="center"/>
    </xf>
    <xf numFmtId="0" fontId="17" fillId="10" borderId="60" xfId="0" applyFont="1" applyFill="1" applyBorder="1" applyAlignment="1">
      <alignment horizontal="center" vertical="center"/>
    </xf>
    <xf numFmtId="0" fontId="0" fillId="10" borderId="61" xfId="0" applyFill="1" applyBorder="1" applyAlignment="1">
      <alignment horizontal="center"/>
    </xf>
    <xf numFmtId="0" fontId="0" fillId="6" borderId="61" xfId="0" applyFill="1" applyBorder="1" applyAlignment="1">
      <alignment horizontal="center"/>
    </xf>
    <xf numFmtId="0" fontId="2" fillId="0" borderId="0" xfId="0" applyFont="1" applyAlignment="1">
      <alignment horizontal="left" vertical="center" wrapText="1"/>
    </xf>
    <xf numFmtId="0" fontId="31" fillId="0" borderId="0" xfId="6" applyFont="1" applyAlignment="1">
      <alignment horizontal="left" wrapText="1"/>
    </xf>
    <xf numFmtId="4" fontId="33" fillId="9" borderId="30" xfId="2" applyNumberFormat="1" applyFont="1" applyFill="1" applyBorder="1" applyAlignment="1">
      <alignment horizontal="right"/>
    </xf>
    <xf numFmtId="0" fontId="38" fillId="0" borderId="0" xfId="6" applyFont="1" applyAlignment="1">
      <alignment horizontal="left"/>
    </xf>
    <xf numFmtId="0" fontId="30" fillId="0" borderId="0" xfId="6" applyFont="1" applyAlignment="1">
      <alignment horizontal="center"/>
    </xf>
    <xf numFmtId="0" fontId="32" fillId="0" borderId="0" xfId="6" applyFont="1" applyAlignment="1">
      <alignment horizontal="center"/>
    </xf>
    <xf numFmtId="0" fontId="32" fillId="9" borderId="3" xfId="6" applyFont="1" applyFill="1" applyBorder="1" applyAlignment="1">
      <alignment horizontal="left"/>
    </xf>
    <xf numFmtId="0" fontId="32" fillId="9" borderId="4" xfId="6" applyFont="1" applyFill="1" applyBorder="1" applyAlignment="1">
      <alignment horizontal="left"/>
    </xf>
    <xf numFmtId="176" fontId="33" fillId="9" borderId="30" xfId="6" applyNumberFormat="1" applyFont="1" applyFill="1" applyBorder="1" applyAlignment="1">
      <alignment horizontal="right"/>
    </xf>
    <xf numFmtId="0" fontId="11" fillId="0" borderId="0" xfId="0" applyFont="1" applyAlignment="1">
      <alignment horizontal="left" vertical="center" wrapText="1"/>
    </xf>
    <xf numFmtId="0" fontId="2" fillId="0" borderId="0" xfId="0" applyFont="1" applyAlignment="1">
      <alignment horizontal="left" vertical="top" wrapText="1"/>
    </xf>
    <xf numFmtId="0" fontId="50" fillId="15" borderId="11" xfId="0" applyFont="1" applyFill="1" applyBorder="1" applyAlignment="1">
      <alignment horizontal="center"/>
    </xf>
  </cellXfs>
  <cellStyles count="8">
    <cellStyle name="Comma" xfId="1" builtinId="3"/>
    <cellStyle name="Currency" xfId="2" builtinId="4"/>
    <cellStyle name="Currency 2" xfId="7" xr:uid="{00000000-0005-0000-0000-000002000000}"/>
    <cellStyle name="Normal" xfId="0" builtinId="0"/>
    <cellStyle name="Normal 2" xfId="3" xr:uid="{00000000-0005-0000-0000-000004000000}"/>
    <cellStyle name="Normal 3" xfId="6" xr:uid="{00000000-0005-0000-0000-000005000000}"/>
    <cellStyle name="Normal_GAII_Recharge Budget  Rate Calculation" xfId="4" xr:uid="{00000000-0005-0000-0000-000006000000}"/>
    <cellStyle name="Percent" xfId="5" builtinId="5"/>
  </cellStyles>
  <dxfs count="34">
    <dxf>
      <font>
        <strike val="0"/>
        <outline val="0"/>
        <shadow val="0"/>
        <u val="none"/>
        <vertAlign val="baseline"/>
        <sz val="12"/>
        <name val="Arial"/>
        <scheme val="none"/>
      </font>
      <fill>
        <patternFill patternType="solid">
          <fgColor indexed="64"/>
          <bgColor theme="4" tint="0.79998168889431442"/>
        </patternFill>
      </fill>
      <border diagonalUp="0" diagonalDown="0">
        <left/>
        <right/>
        <top style="thin">
          <color indexed="64"/>
        </top>
        <bottom style="thin">
          <color indexed="64"/>
        </bottom>
        <vertical/>
        <horizontal style="thin">
          <color indexed="64"/>
        </horizontal>
      </border>
    </dxf>
    <dxf>
      <border>
        <top style="thin">
          <color indexed="64"/>
        </top>
      </border>
    </dxf>
    <dxf>
      <border diagonalUp="0" diagonalDown="0">
        <left style="medium">
          <color indexed="64"/>
        </left>
        <right style="thin">
          <color indexed="64"/>
        </right>
        <top style="medium">
          <color indexed="64"/>
        </top>
        <bottom style="medium">
          <color indexed="64"/>
        </bottom>
      </border>
    </dxf>
    <dxf>
      <font>
        <strike val="0"/>
        <outline val="0"/>
        <shadow val="0"/>
        <u val="none"/>
        <vertAlign val="baseline"/>
        <sz val="12"/>
        <name val="Arial"/>
        <scheme val="none"/>
      </font>
      <fill>
        <patternFill patternType="solid">
          <fgColor indexed="64"/>
          <bgColor theme="4" tint="0.79998168889431442"/>
        </patternFill>
      </fill>
    </dxf>
    <dxf>
      <border>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rgb="FFB4B4B4"/>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2"/>
        <color rgb="FF0000FF"/>
        <name val="Arial"/>
        <scheme val="none"/>
      </font>
      <border diagonalUp="0" diagonalDown="0">
        <left/>
        <right style="thin">
          <color indexed="64"/>
        </right>
        <top/>
        <bottom/>
        <vertical/>
        <horizontal/>
      </border>
    </dxf>
    <dxf>
      <border outline="0">
        <top style="medium">
          <color auto="1"/>
        </top>
      </border>
    </dxf>
    <dxf>
      <font>
        <strike val="0"/>
        <outline val="0"/>
        <shadow val="0"/>
        <u val="none"/>
        <vertAlign val="baseline"/>
        <sz val="12"/>
        <color rgb="FF0000FF"/>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rgb="FFB4B4B4"/>
        </patternFill>
      </fill>
      <alignment horizontal="center" vertical="center" textRotation="0" wrapText="1" indent="0" justifyLastLine="0" shrinkToFit="0" readingOrder="0"/>
    </dxf>
    <dxf>
      <font>
        <strike val="0"/>
        <outline val="0"/>
        <shadow val="0"/>
        <u val="none"/>
        <vertAlign val="baseline"/>
        <sz val="12"/>
        <color rgb="FF0000FF"/>
        <name val="Arial"/>
        <scheme val="none"/>
      </font>
      <fill>
        <patternFill patternType="solid">
          <fgColor indexed="64"/>
          <bgColor theme="4" tint="0.79998168889431442"/>
        </patternFill>
      </fill>
      <border diagonalUp="0" diagonalDown="0">
        <left/>
        <right/>
        <top style="thin">
          <color indexed="64"/>
        </top>
        <bottom style="thin">
          <color indexed="64"/>
        </bottom>
        <vertical/>
        <horizontal style="thin">
          <color indexed="64"/>
        </horizontal>
      </border>
    </dxf>
    <dxf>
      <border>
        <top style="thin">
          <color indexed="64"/>
        </top>
      </border>
    </dxf>
    <dxf>
      <border diagonalUp="0" diagonalDown="0">
        <left style="medium">
          <color indexed="64"/>
        </left>
        <right style="thin">
          <color indexed="64"/>
        </right>
        <top style="medium">
          <color indexed="64"/>
        </top>
        <bottom style="medium">
          <color indexed="64"/>
        </bottom>
      </border>
    </dxf>
    <dxf>
      <font>
        <strike val="0"/>
        <outline val="0"/>
        <shadow val="0"/>
        <u val="none"/>
        <vertAlign val="baseline"/>
        <sz val="12"/>
        <color rgb="FF0000FF"/>
        <name val="Arial"/>
        <scheme val="none"/>
      </font>
      <fill>
        <patternFill patternType="solid">
          <fgColor indexed="64"/>
          <bgColor theme="4" tint="0.79998168889431442"/>
        </patternFill>
      </fill>
    </dxf>
    <dxf>
      <border>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rgb="FFB4B4B4"/>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2"/>
        <name val="Arial"/>
        <scheme val="none"/>
      </font>
      <border diagonalUp="0" diagonalDown="0">
        <left/>
        <right/>
        <top style="thin">
          <color indexed="64"/>
        </top>
        <bottom style="thin">
          <color indexed="64"/>
        </bottom>
        <vertical/>
        <horizontal style="thin">
          <color indexed="64"/>
        </horizontal>
      </border>
    </dxf>
    <dxf>
      <border>
        <top style="thin">
          <color indexed="64"/>
        </top>
      </border>
    </dxf>
    <dxf>
      <border diagonalUp="0" diagonalDown="0">
        <right style="thin">
          <color indexed="64"/>
        </right>
        <top style="medium">
          <color auto="1"/>
        </top>
        <bottom style="thin">
          <color auto="1"/>
        </bottom>
      </border>
    </dxf>
    <dxf>
      <font>
        <strike val="0"/>
        <outline val="0"/>
        <shadow val="0"/>
        <u val="none"/>
        <vertAlign val="baseline"/>
        <sz val="12"/>
        <name val="Arial"/>
        <scheme val="none"/>
      </font>
    </dxf>
    <dxf>
      <border>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rgb="FFB4B4B4"/>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2"/>
        <name val="Arial"/>
        <scheme val="none"/>
      </font>
      <border diagonalUp="0" diagonalDown="0" outline="0">
        <left style="thin">
          <color indexed="64"/>
        </left>
        <right/>
        <top style="thin">
          <color indexed="64"/>
        </top>
        <bottom style="thin">
          <color indexed="64"/>
        </bottom>
      </border>
    </dxf>
    <dxf>
      <font>
        <strike val="0"/>
        <outline val="0"/>
        <shadow val="0"/>
        <u val="none"/>
        <vertAlign val="baseline"/>
        <sz val="12"/>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scheme val="none"/>
      </font>
    </dxf>
    <dxf>
      <border>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rgb="FFB4B4B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101CACC-4B71-4673-8CE1-60751AE0ED8D}" type="doc">
      <dgm:prSet loTypeId="urn:microsoft.com/office/officeart/2005/8/layout/process3" loCatId="process" qsTypeId="urn:microsoft.com/office/officeart/2005/8/quickstyle/simple1" qsCatId="simple" csTypeId="urn:microsoft.com/office/officeart/2005/8/colors/accent1_2" csCatId="accent1" phldr="1"/>
      <dgm:spPr/>
      <dgm:t>
        <a:bodyPr/>
        <a:lstStyle/>
        <a:p>
          <a:endParaRPr lang="en-US"/>
        </a:p>
      </dgm:t>
    </dgm:pt>
    <dgm:pt modelId="{7F49C43A-7E04-44A9-B239-6B27757AFE01}">
      <dgm:prSet phldrT="[Text]" custT="1"/>
      <dgm:spPr/>
      <dgm:t>
        <a:bodyPr/>
        <a:lstStyle/>
        <a:p>
          <a:r>
            <a:rPr lang="en-US" sz="900"/>
            <a:t>Base year for the 2022-23 proposal </a:t>
          </a:r>
        </a:p>
      </dgm:t>
    </dgm:pt>
    <dgm:pt modelId="{6D9320F7-B6C3-420A-AD4B-90B157533533}" type="parTrans" cxnId="{662DAA9E-AAAA-4599-AC2A-C1CA98E65F48}">
      <dgm:prSet/>
      <dgm:spPr/>
      <dgm:t>
        <a:bodyPr/>
        <a:lstStyle/>
        <a:p>
          <a:endParaRPr lang="en-US"/>
        </a:p>
      </dgm:t>
    </dgm:pt>
    <dgm:pt modelId="{34BD031B-9D0C-471A-83A2-1E0FFBBC939A}" type="sibTrans" cxnId="{662DAA9E-AAAA-4599-AC2A-C1CA98E65F48}">
      <dgm:prSet/>
      <dgm:spPr/>
      <dgm:t>
        <a:bodyPr/>
        <a:lstStyle/>
        <a:p>
          <a:endParaRPr lang="en-US"/>
        </a:p>
      </dgm:t>
    </dgm:pt>
    <dgm:pt modelId="{1998C48C-8EE1-4253-ABE7-6BD2B715546E}">
      <dgm:prSet phldrT="[Text]" custT="1"/>
      <dgm:spPr/>
      <dgm:t>
        <a:bodyPr/>
        <a:lstStyle/>
        <a:p>
          <a:r>
            <a:rPr lang="en-US" sz="1050"/>
            <a:t>2022-23</a:t>
          </a:r>
        </a:p>
      </dgm:t>
    </dgm:pt>
    <dgm:pt modelId="{C545B6CA-48C5-4FF5-9AA9-9EC835E3894D}" type="parTrans" cxnId="{C47143B3-36B1-4B38-ACF4-5893BFC0065B}">
      <dgm:prSet/>
      <dgm:spPr/>
      <dgm:t>
        <a:bodyPr/>
        <a:lstStyle/>
        <a:p>
          <a:endParaRPr lang="en-US"/>
        </a:p>
      </dgm:t>
    </dgm:pt>
    <dgm:pt modelId="{B202C3E6-D4F1-4E15-BB25-7DF08114E742}" type="sibTrans" cxnId="{C47143B3-36B1-4B38-ACF4-5893BFC0065B}">
      <dgm:prSet/>
      <dgm:spPr/>
      <dgm:t>
        <a:bodyPr/>
        <a:lstStyle/>
        <a:p>
          <a:endParaRPr lang="en-US"/>
        </a:p>
      </dgm:t>
    </dgm:pt>
    <dgm:pt modelId="{18BBE2AC-6277-4902-8C17-505033C0B207}">
      <dgm:prSet phldrT="[Text]" custT="1"/>
      <dgm:spPr/>
      <dgm:t>
        <a:bodyPr/>
        <a:lstStyle/>
        <a:p>
          <a:r>
            <a:rPr lang="en-US" sz="900"/>
            <a:t>Last proposal preparation year</a:t>
          </a:r>
        </a:p>
      </dgm:t>
    </dgm:pt>
    <dgm:pt modelId="{06131177-EFD2-4B81-97E6-FC6D530BF37B}" type="parTrans" cxnId="{F821AE5A-3756-45AF-8A25-DE05DBB94575}">
      <dgm:prSet/>
      <dgm:spPr/>
      <dgm:t>
        <a:bodyPr/>
        <a:lstStyle/>
        <a:p>
          <a:endParaRPr lang="en-US"/>
        </a:p>
      </dgm:t>
    </dgm:pt>
    <dgm:pt modelId="{B3C4A771-C7DA-4641-9AFB-BD88AF656D88}" type="sibTrans" cxnId="{F821AE5A-3756-45AF-8A25-DE05DBB94575}">
      <dgm:prSet/>
      <dgm:spPr/>
      <dgm:t>
        <a:bodyPr/>
        <a:lstStyle/>
        <a:p>
          <a:endParaRPr lang="en-US"/>
        </a:p>
      </dgm:t>
    </dgm:pt>
    <dgm:pt modelId="{470B196E-0181-4FC5-B6A2-9C07515D9117}">
      <dgm:prSet phldrT="[Text]" custT="1"/>
      <dgm:spPr/>
      <dgm:t>
        <a:bodyPr/>
        <a:lstStyle/>
        <a:p>
          <a:r>
            <a:rPr lang="en-US" sz="1050"/>
            <a:t>2023-24</a:t>
          </a:r>
        </a:p>
      </dgm:t>
    </dgm:pt>
    <dgm:pt modelId="{9EEB79DA-F4DF-453B-BC63-59FD5BE33DAE}" type="parTrans" cxnId="{8D630453-1963-400A-A3F5-FDFD42F5CC11}">
      <dgm:prSet/>
      <dgm:spPr/>
      <dgm:t>
        <a:bodyPr/>
        <a:lstStyle/>
        <a:p>
          <a:endParaRPr lang="en-US"/>
        </a:p>
      </dgm:t>
    </dgm:pt>
    <dgm:pt modelId="{A9CDD006-3FEF-4FF7-A5FA-146F0C17EDE5}" type="sibTrans" cxnId="{8D630453-1963-400A-A3F5-FDFD42F5CC11}">
      <dgm:prSet/>
      <dgm:spPr/>
      <dgm:t>
        <a:bodyPr/>
        <a:lstStyle/>
        <a:p>
          <a:endParaRPr lang="en-US"/>
        </a:p>
      </dgm:t>
    </dgm:pt>
    <dgm:pt modelId="{B2AAED21-BCDF-4285-A5F5-23195C8827C2}">
      <dgm:prSet phldrT="[Text]" custT="1"/>
      <dgm:spPr/>
      <dgm:t>
        <a:bodyPr/>
        <a:lstStyle/>
        <a:p>
          <a:r>
            <a:rPr lang="en-US" sz="900"/>
            <a:t>Activity ceased in October 2023</a:t>
          </a:r>
        </a:p>
      </dgm:t>
    </dgm:pt>
    <dgm:pt modelId="{DFA9F8FC-478E-4D9E-9E53-AC02E71E2772}" type="parTrans" cxnId="{9D35435D-557A-4974-85CB-3DB5681AB70F}">
      <dgm:prSet/>
      <dgm:spPr/>
      <dgm:t>
        <a:bodyPr/>
        <a:lstStyle/>
        <a:p>
          <a:endParaRPr lang="en-US"/>
        </a:p>
      </dgm:t>
    </dgm:pt>
    <dgm:pt modelId="{C6CCC1E0-220D-4763-B472-C5320D2C29AC}" type="sibTrans" cxnId="{9D35435D-557A-4974-85CB-3DB5681AB70F}">
      <dgm:prSet/>
      <dgm:spPr/>
      <dgm:t>
        <a:bodyPr/>
        <a:lstStyle/>
        <a:p>
          <a:endParaRPr lang="en-US"/>
        </a:p>
      </dgm:t>
    </dgm:pt>
    <dgm:pt modelId="{C86C9DD0-E42B-49FD-93C0-F405F6E77089}">
      <dgm:prSet phldrT="[Text]" custT="1"/>
      <dgm:spPr/>
      <dgm:t>
        <a:bodyPr/>
        <a:lstStyle/>
        <a:p>
          <a:r>
            <a:rPr lang="en-US" sz="1050"/>
            <a:t>2021-22	</a:t>
          </a:r>
        </a:p>
      </dgm:t>
    </dgm:pt>
    <dgm:pt modelId="{A444FE78-F067-4EB6-B773-AB6A25F8613D}" type="sibTrans" cxnId="{7C3CF077-B000-49E0-AAB3-ADFF7D5F34ED}">
      <dgm:prSet/>
      <dgm:spPr/>
      <dgm:t>
        <a:bodyPr/>
        <a:lstStyle/>
        <a:p>
          <a:endParaRPr lang="en-US"/>
        </a:p>
      </dgm:t>
    </dgm:pt>
    <dgm:pt modelId="{23C46B14-4D65-4E6B-BA60-92E231C7E4D2}" type="parTrans" cxnId="{7C3CF077-B000-49E0-AAB3-ADFF7D5F34ED}">
      <dgm:prSet/>
      <dgm:spPr/>
      <dgm:t>
        <a:bodyPr/>
        <a:lstStyle/>
        <a:p>
          <a:endParaRPr lang="en-US"/>
        </a:p>
      </dgm:t>
    </dgm:pt>
    <dgm:pt modelId="{33FBBE16-2E61-442D-9718-4B25834B30AE}">
      <dgm:prSet phldrT="[Text]" custT="1"/>
      <dgm:spPr/>
      <dgm:t>
        <a:bodyPr/>
        <a:lstStyle/>
        <a:p>
          <a:r>
            <a:rPr lang="en-US" sz="900"/>
            <a:t>Includes reconciled actual financial activity through December 2022</a:t>
          </a:r>
        </a:p>
      </dgm:t>
    </dgm:pt>
    <dgm:pt modelId="{1FD2459E-80A3-4129-877E-3C0EB42DFC94}" type="parTrans" cxnId="{786619E1-5153-4CD6-BED0-5705840F7E63}">
      <dgm:prSet/>
      <dgm:spPr/>
      <dgm:t>
        <a:bodyPr/>
        <a:lstStyle/>
        <a:p>
          <a:endParaRPr lang="en-US"/>
        </a:p>
      </dgm:t>
    </dgm:pt>
    <dgm:pt modelId="{D9446727-2006-4D0D-A901-F3CB1F3B4A30}" type="sibTrans" cxnId="{786619E1-5153-4CD6-BED0-5705840F7E63}">
      <dgm:prSet/>
      <dgm:spPr/>
      <dgm:t>
        <a:bodyPr/>
        <a:lstStyle/>
        <a:p>
          <a:endParaRPr lang="en-US"/>
        </a:p>
      </dgm:t>
    </dgm:pt>
    <dgm:pt modelId="{6A212E0E-F691-4385-8C2D-B57A139D8CD7}">
      <dgm:prSet phldrT="[Text]" custT="1"/>
      <dgm:spPr/>
      <dgm:t>
        <a:bodyPr/>
        <a:lstStyle/>
        <a:p>
          <a:endParaRPr lang="en-US" sz="900"/>
        </a:p>
      </dgm:t>
    </dgm:pt>
    <dgm:pt modelId="{F9317505-3639-46EF-BD01-B47548B28D56}" type="parTrans" cxnId="{B221D178-5D0B-4D95-AED4-479088EBE429}">
      <dgm:prSet/>
      <dgm:spPr/>
      <dgm:t>
        <a:bodyPr/>
        <a:lstStyle/>
        <a:p>
          <a:endParaRPr lang="en-US"/>
        </a:p>
      </dgm:t>
    </dgm:pt>
    <dgm:pt modelId="{D35E978F-09D0-4B4F-A61C-72F6C586E04C}" type="sibTrans" cxnId="{B221D178-5D0B-4D95-AED4-479088EBE429}">
      <dgm:prSet/>
      <dgm:spPr/>
      <dgm:t>
        <a:bodyPr/>
        <a:lstStyle/>
        <a:p>
          <a:endParaRPr lang="en-US"/>
        </a:p>
      </dgm:t>
    </dgm:pt>
    <dgm:pt modelId="{94F40B5F-5180-4ED1-A502-2FE1EEF67D15}">
      <dgm:prSet phldrT="[Text]" custT="1"/>
      <dgm:spPr/>
      <dgm:t>
        <a:bodyPr/>
        <a:lstStyle/>
        <a:p>
          <a:r>
            <a:rPr lang="en-US" sz="900"/>
            <a:t>Discontinuation requested in December 2023</a:t>
          </a:r>
        </a:p>
      </dgm:t>
    </dgm:pt>
    <dgm:pt modelId="{E9BA1317-B12D-4F7B-AD99-012D6A2A1302}" type="parTrans" cxnId="{6C5593AB-7B08-4344-A979-A4FA2AA51441}">
      <dgm:prSet/>
      <dgm:spPr/>
      <dgm:t>
        <a:bodyPr/>
        <a:lstStyle/>
        <a:p>
          <a:endParaRPr lang="en-US"/>
        </a:p>
      </dgm:t>
    </dgm:pt>
    <dgm:pt modelId="{61FB2515-FE2F-462E-8264-8B5D33C46308}" type="sibTrans" cxnId="{6C5593AB-7B08-4344-A979-A4FA2AA51441}">
      <dgm:prSet/>
      <dgm:spPr/>
      <dgm:t>
        <a:bodyPr/>
        <a:lstStyle/>
        <a:p>
          <a:endParaRPr lang="en-US"/>
        </a:p>
      </dgm:t>
    </dgm:pt>
    <dgm:pt modelId="{49C2228E-4E62-402F-84AA-299EEA607DDA}" type="pres">
      <dgm:prSet presAssocID="{B101CACC-4B71-4673-8CE1-60751AE0ED8D}" presName="linearFlow" presStyleCnt="0">
        <dgm:presLayoutVars>
          <dgm:dir/>
          <dgm:animLvl val="lvl"/>
          <dgm:resizeHandles val="exact"/>
        </dgm:presLayoutVars>
      </dgm:prSet>
      <dgm:spPr/>
    </dgm:pt>
    <dgm:pt modelId="{9617750D-CF90-4849-AA8E-1EA623823523}" type="pres">
      <dgm:prSet presAssocID="{C86C9DD0-E42B-49FD-93C0-F405F6E77089}" presName="composite" presStyleCnt="0"/>
      <dgm:spPr/>
    </dgm:pt>
    <dgm:pt modelId="{052C214B-05FC-49DA-B7B7-69721261123C}" type="pres">
      <dgm:prSet presAssocID="{C86C9DD0-E42B-49FD-93C0-F405F6E77089}" presName="parTx" presStyleLbl="node1" presStyleIdx="0" presStyleCnt="3">
        <dgm:presLayoutVars>
          <dgm:chMax val="0"/>
          <dgm:chPref val="0"/>
          <dgm:bulletEnabled val="1"/>
        </dgm:presLayoutVars>
      </dgm:prSet>
      <dgm:spPr/>
    </dgm:pt>
    <dgm:pt modelId="{9D80D761-7B5A-47A4-AACF-CBCEDB72C5B1}" type="pres">
      <dgm:prSet presAssocID="{C86C9DD0-E42B-49FD-93C0-F405F6E77089}" presName="parSh" presStyleLbl="node1" presStyleIdx="0" presStyleCnt="3"/>
      <dgm:spPr/>
    </dgm:pt>
    <dgm:pt modelId="{3AA54955-621D-4922-BDAD-C7A77DB797DE}" type="pres">
      <dgm:prSet presAssocID="{C86C9DD0-E42B-49FD-93C0-F405F6E77089}" presName="desTx" presStyleLbl="fgAcc1" presStyleIdx="0" presStyleCnt="3" custScaleX="163579" custLinFactNeighborX="-1283" custLinFactNeighborY="-2120">
        <dgm:presLayoutVars>
          <dgm:bulletEnabled val="1"/>
        </dgm:presLayoutVars>
      </dgm:prSet>
      <dgm:spPr/>
    </dgm:pt>
    <dgm:pt modelId="{F538543F-792B-484E-9835-11320A89C31F}" type="pres">
      <dgm:prSet presAssocID="{A444FE78-F067-4EB6-B773-AB6A25F8613D}" presName="sibTrans" presStyleLbl="sibTrans2D1" presStyleIdx="0" presStyleCnt="2" custScaleX="173329" custScaleY="41103" custLinFactNeighborX="2514" custLinFactNeighborY="-1298"/>
      <dgm:spPr/>
    </dgm:pt>
    <dgm:pt modelId="{D2DE6C75-9BEC-40F0-A80B-B195F28077D6}" type="pres">
      <dgm:prSet presAssocID="{A444FE78-F067-4EB6-B773-AB6A25F8613D}" presName="connTx" presStyleLbl="sibTrans2D1" presStyleIdx="0" presStyleCnt="2"/>
      <dgm:spPr/>
    </dgm:pt>
    <dgm:pt modelId="{AE7EECB0-294E-4021-B2AB-CA2473A672A5}" type="pres">
      <dgm:prSet presAssocID="{1998C48C-8EE1-4253-ABE7-6BD2B715546E}" presName="composite" presStyleCnt="0"/>
      <dgm:spPr/>
    </dgm:pt>
    <dgm:pt modelId="{A8BE1027-8745-40B0-8595-210ED8F15684}" type="pres">
      <dgm:prSet presAssocID="{1998C48C-8EE1-4253-ABE7-6BD2B715546E}" presName="parTx" presStyleLbl="node1" presStyleIdx="0" presStyleCnt="3">
        <dgm:presLayoutVars>
          <dgm:chMax val="0"/>
          <dgm:chPref val="0"/>
          <dgm:bulletEnabled val="1"/>
        </dgm:presLayoutVars>
      </dgm:prSet>
      <dgm:spPr/>
    </dgm:pt>
    <dgm:pt modelId="{4758CAF4-D56D-45C5-B2A9-20D9C171C9DE}" type="pres">
      <dgm:prSet presAssocID="{1998C48C-8EE1-4253-ABE7-6BD2B715546E}" presName="parSh" presStyleLbl="node1" presStyleIdx="1" presStyleCnt="3"/>
      <dgm:spPr/>
    </dgm:pt>
    <dgm:pt modelId="{5D6F8D91-1C31-499C-A90C-1D73C3EB2350}" type="pres">
      <dgm:prSet presAssocID="{1998C48C-8EE1-4253-ABE7-6BD2B715546E}" presName="desTx" presStyleLbl="fgAcc1" presStyleIdx="1" presStyleCnt="3" custScaleX="168160" custLinFactNeighborX="-513">
        <dgm:presLayoutVars>
          <dgm:bulletEnabled val="1"/>
        </dgm:presLayoutVars>
      </dgm:prSet>
      <dgm:spPr/>
    </dgm:pt>
    <dgm:pt modelId="{BE8A03D7-9620-4BE6-942E-6939EE9C7A97}" type="pres">
      <dgm:prSet presAssocID="{B202C3E6-D4F1-4E15-BB25-7DF08114E742}" presName="sibTrans" presStyleLbl="sibTrans2D1" presStyleIdx="1" presStyleCnt="2" custScaleX="177074" custScaleY="39805"/>
      <dgm:spPr/>
    </dgm:pt>
    <dgm:pt modelId="{AE1B22CA-A924-4553-88A8-E566A129EFE7}" type="pres">
      <dgm:prSet presAssocID="{B202C3E6-D4F1-4E15-BB25-7DF08114E742}" presName="connTx" presStyleLbl="sibTrans2D1" presStyleIdx="1" presStyleCnt="2"/>
      <dgm:spPr/>
    </dgm:pt>
    <dgm:pt modelId="{3889FE80-035B-4A7B-90B8-F09F210C4473}" type="pres">
      <dgm:prSet presAssocID="{470B196E-0181-4FC5-B6A2-9C07515D9117}" presName="composite" presStyleCnt="0"/>
      <dgm:spPr/>
    </dgm:pt>
    <dgm:pt modelId="{C73D9A5C-B36C-4987-A80B-F8AE5CEC4882}" type="pres">
      <dgm:prSet presAssocID="{470B196E-0181-4FC5-B6A2-9C07515D9117}" presName="parTx" presStyleLbl="node1" presStyleIdx="1" presStyleCnt="3">
        <dgm:presLayoutVars>
          <dgm:chMax val="0"/>
          <dgm:chPref val="0"/>
          <dgm:bulletEnabled val="1"/>
        </dgm:presLayoutVars>
      </dgm:prSet>
      <dgm:spPr/>
    </dgm:pt>
    <dgm:pt modelId="{2BF48297-C2FD-4AE3-9F80-985C593759C2}" type="pres">
      <dgm:prSet presAssocID="{470B196E-0181-4FC5-B6A2-9C07515D9117}" presName="parSh" presStyleLbl="node1" presStyleIdx="2" presStyleCnt="3"/>
      <dgm:spPr/>
    </dgm:pt>
    <dgm:pt modelId="{1544F1A1-FD8F-45A9-A25B-ADBDD1E8C006}" type="pres">
      <dgm:prSet presAssocID="{470B196E-0181-4FC5-B6A2-9C07515D9117}" presName="desTx" presStyleLbl="fgAcc1" presStyleIdx="2" presStyleCnt="3" custScaleX="167131">
        <dgm:presLayoutVars>
          <dgm:bulletEnabled val="1"/>
        </dgm:presLayoutVars>
      </dgm:prSet>
      <dgm:spPr/>
    </dgm:pt>
  </dgm:ptLst>
  <dgm:cxnLst>
    <dgm:cxn modelId="{00EA2803-40B8-406F-A935-169963FB1247}" type="presOf" srcId="{470B196E-0181-4FC5-B6A2-9C07515D9117}" destId="{2BF48297-C2FD-4AE3-9F80-985C593759C2}" srcOrd="1" destOrd="0" presId="urn:microsoft.com/office/officeart/2005/8/layout/process3"/>
    <dgm:cxn modelId="{0E574104-E707-440C-AA6B-5C2FF93FB36B}" type="presOf" srcId="{7F49C43A-7E04-44A9-B239-6B27757AFE01}" destId="{3AA54955-621D-4922-BDAD-C7A77DB797DE}" srcOrd="0" destOrd="0" presId="urn:microsoft.com/office/officeart/2005/8/layout/process3"/>
    <dgm:cxn modelId="{DBF03E0E-DE9C-4AAC-A99D-DACB878DAB12}" type="presOf" srcId="{18BBE2AC-6277-4902-8C17-505033C0B207}" destId="{5D6F8D91-1C31-499C-A90C-1D73C3EB2350}" srcOrd="0" destOrd="0" presId="urn:microsoft.com/office/officeart/2005/8/layout/process3"/>
    <dgm:cxn modelId="{B3214111-0774-471B-B241-41FB81CCFA99}" type="presOf" srcId="{94F40B5F-5180-4ED1-A502-2FE1EEF67D15}" destId="{1544F1A1-FD8F-45A9-A25B-ADBDD1E8C006}" srcOrd="0" destOrd="1" presId="urn:microsoft.com/office/officeart/2005/8/layout/process3"/>
    <dgm:cxn modelId="{B127E524-2CCB-48E4-9ED7-5755982A514E}" type="presOf" srcId="{C86C9DD0-E42B-49FD-93C0-F405F6E77089}" destId="{9D80D761-7B5A-47A4-AACF-CBCEDB72C5B1}" srcOrd="1" destOrd="0" presId="urn:microsoft.com/office/officeart/2005/8/layout/process3"/>
    <dgm:cxn modelId="{D7268327-7CA1-468A-8CAB-404ADF127DDF}" type="presOf" srcId="{1998C48C-8EE1-4253-ABE7-6BD2B715546E}" destId="{4758CAF4-D56D-45C5-B2A9-20D9C171C9DE}" srcOrd="1" destOrd="0" presId="urn:microsoft.com/office/officeart/2005/8/layout/process3"/>
    <dgm:cxn modelId="{726C003A-C78F-491B-8241-3391456985BF}" type="presOf" srcId="{B101CACC-4B71-4673-8CE1-60751AE0ED8D}" destId="{49C2228E-4E62-402F-84AA-299EEA607DDA}" srcOrd="0" destOrd="0" presId="urn:microsoft.com/office/officeart/2005/8/layout/process3"/>
    <dgm:cxn modelId="{9D35435D-557A-4974-85CB-3DB5681AB70F}" srcId="{470B196E-0181-4FC5-B6A2-9C07515D9117}" destId="{B2AAED21-BCDF-4285-A5F5-23195C8827C2}" srcOrd="0" destOrd="0" parTransId="{DFA9F8FC-478E-4D9E-9E53-AC02E71E2772}" sibTransId="{C6CCC1E0-220D-4763-B472-C5320D2C29AC}"/>
    <dgm:cxn modelId="{AE5D0143-BDF1-4342-BBE4-12F0D9CA8EDA}" type="presOf" srcId="{6A212E0E-F691-4385-8C2D-B57A139D8CD7}" destId="{1544F1A1-FD8F-45A9-A25B-ADBDD1E8C006}" srcOrd="0" destOrd="2" presId="urn:microsoft.com/office/officeart/2005/8/layout/process3"/>
    <dgm:cxn modelId="{30D35844-5347-4E7C-8735-6A6898B20099}" type="presOf" srcId="{470B196E-0181-4FC5-B6A2-9C07515D9117}" destId="{C73D9A5C-B36C-4987-A80B-F8AE5CEC4882}" srcOrd="0" destOrd="0" presId="urn:microsoft.com/office/officeart/2005/8/layout/process3"/>
    <dgm:cxn modelId="{9A1BE16A-CDE6-456E-9C89-0F469A085082}" type="presOf" srcId="{A444FE78-F067-4EB6-B773-AB6A25F8613D}" destId="{F538543F-792B-484E-9835-11320A89C31F}" srcOrd="0" destOrd="0" presId="urn:microsoft.com/office/officeart/2005/8/layout/process3"/>
    <dgm:cxn modelId="{8B2CC24D-3652-4FF2-811A-92DD38CBA919}" type="presOf" srcId="{B202C3E6-D4F1-4E15-BB25-7DF08114E742}" destId="{AE1B22CA-A924-4553-88A8-E566A129EFE7}" srcOrd="1" destOrd="0" presId="urn:microsoft.com/office/officeart/2005/8/layout/process3"/>
    <dgm:cxn modelId="{8D630453-1963-400A-A3F5-FDFD42F5CC11}" srcId="{B101CACC-4B71-4673-8CE1-60751AE0ED8D}" destId="{470B196E-0181-4FC5-B6A2-9C07515D9117}" srcOrd="2" destOrd="0" parTransId="{9EEB79DA-F4DF-453B-BC63-59FD5BE33DAE}" sibTransId="{A9CDD006-3FEF-4FF7-A5FA-146F0C17EDE5}"/>
    <dgm:cxn modelId="{7C3CF077-B000-49E0-AAB3-ADFF7D5F34ED}" srcId="{B101CACC-4B71-4673-8CE1-60751AE0ED8D}" destId="{C86C9DD0-E42B-49FD-93C0-F405F6E77089}" srcOrd="0" destOrd="0" parTransId="{23C46B14-4D65-4E6B-BA60-92E231C7E4D2}" sibTransId="{A444FE78-F067-4EB6-B773-AB6A25F8613D}"/>
    <dgm:cxn modelId="{B221D178-5D0B-4D95-AED4-479088EBE429}" srcId="{470B196E-0181-4FC5-B6A2-9C07515D9117}" destId="{6A212E0E-F691-4385-8C2D-B57A139D8CD7}" srcOrd="2" destOrd="0" parTransId="{F9317505-3639-46EF-BD01-B47548B28D56}" sibTransId="{D35E978F-09D0-4B4F-A61C-72F6C586E04C}"/>
    <dgm:cxn modelId="{F821AE5A-3756-45AF-8A25-DE05DBB94575}" srcId="{1998C48C-8EE1-4253-ABE7-6BD2B715546E}" destId="{18BBE2AC-6277-4902-8C17-505033C0B207}" srcOrd="0" destOrd="0" parTransId="{06131177-EFD2-4B81-97E6-FC6D530BF37B}" sibTransId="{B3C4A771-C7DA-4641-9AFB-BD88AF656D88}"/>
    <dgm:cxn modelId="{30F5868E-B06F-484B-A039-C3E00DB6CE32}" type="presOf" srcId="{33FBBE16-2E61-442D-9718-4B25834B30AE}" destId="{5D6F8D91-1C31-499C-A90C-1D73C3EB2350}" srcOrd="0" destOrd="1" presId="urn:microsoft.com/office/officeart/2005/8/layout/process3"/>
    <dgm:cxn modelId="{6A1B059D-4861-4D97-8393-9618F79058C6}" type="presOf" srcId="{B2AAED21-BCDF-4285-A5F5-23195C8827C2}" destId="{1544F1A1-FD8F-45A9-A25B-ADBDD1E8C006}" srcOrd="0" destOrd="0" presId="urn:microsoft.com/office/officeart/2005/8/layout/process3"/>
    <dgm:cxn modelId="{662DAA9E-AAAA-4599-AC2A-C1CA98E65F48}" srcId="{C86C9DD0-E42B-49FD-93C0-F405F6E77089}" destId="{7F49C43A-7E04-44A9-B239-6B27757AFE01}" srcOrd="0" destOrd="0" parTransId="{6D9320F7-B6C3-420A-AD4B-90B157533533}" sibTransId="{34BD031B-9D0C-471A-83A2-1E0FFBBC939A}"/>
    <dgm:cxn modelId="{6C5593AB-7B08-4344-A979-A4FA2AA51441}" srcId="{470B196E-0181-4FC5-B6A2-9C07515D9117}" destId="{94F40B5F-5180-4ED1-A502-2FE1EEF67D15}" srcOrd="1" destOrd="0" parTransId="{E9BA1317-B12D-4F7B-AD99-012D6A2A1302}" sibTransId="{61FB2515-FE2F-462E-8264-8B5D33C46308}"/>
    <dgm:cxn modelId="{C47143B3-36B1-4B38-ACF4-5893BFC0065B}" srcId="{B101CACC-4B71-4673-8CE1-60751AE0ED8D}" destId="{1998C48C-8EE1-4253-ABE7-6BD2B715546E}" srcOrd="1" destOrd="0" parTransId="{C545B6CA-48C5-4FF5-9AA9-9EC835E3894D}" sibTransId="{B202C3E6-D4F1-4E15-BB25-7DF08114E742}"/>
    <dgm:cxn modelId="{FAAC5DB9-9490-4F76-B977-9F5FF0BAB845}" type="presOf" srcId="{1998C48C-8EE1-4253-ABE7-6BD2B715546E}" destId="{A8BE1027-8745-40B0-8595-210ED8F15684}" srcOrd="0" destOrd="0" presId="urn:microsoft.com/office/officeart/2005/8/layout/process3"/>
    <dgm:cxn modelId="{0ADBCACC-17DD-456B-A1BE-EC0E38127969}" type="presOf" srcId="{A444FE78-F067-4EB6-B773-AB6A25F8613D}" destId="{D2DE6C75-9BEC-40F0-A80B-B195F28077D6}" srcOrd="1" destOrd="0" presId="urn:microsoft.com/office/officeart/2005/8/layout/process3"/>
    <dgm:cxn modelId="{786619E1-5153-4CD6-BED0-5705840F7E63}" srcId="{1998C48C-8EE1-4253-ABE7-6BD2B715546E}" destId="{33FBBE16-2E61-442D-9718-4B25834B30AE}" srcOrd="1" destOrd="0" parTransId="{1FD2459E-80A3-4129-877E-3C0EB42DFC94}" sibTransId="{D9446727-2006-4D0D-A901-F3CB1F3B4A30}"/>
    <dgm:cxn modelId="{A63A3AE7-3F26-4F42-A150-9E6E284130EF}" type="presOf" srcId="{B202C3E6-D4F1-4E15-BB25-7DF08114E742}" destId="{BE8A03D7-9620-4BE6-942E-6939EE9C7A97}" srcOrd="0" destOrd="0" presId="urn:microsoft.com/office/officeart/2005/8/layout/process3"/>
    <dgm:cxn modelId="{883BA6FB-B754-4403-A151-89DEADCA8F6D}" type="presOf" srcId="{C86C9DD0-E42B-49FD-93C0-F405F6E77089}" destId="{052C214B-05FC-49DA-B7B7-69721261123C}" srcOrd="0" destOrd="0" presId="urn:microsoft.com/office/officeart/2005/8/layout/process3"/>
    <dgm:cxn modelId="{0A27DC15-B86C-46C6-867B-5275FB9689FF}" type="presParOf" srcId="{49C2228E-4E62-402F-84AA-299EEA607DDA}" destId="{9617750D-CF90-4849-AA8E-1EA623823523}" srcOrd="0" destOrd="0" presId="urn:microsoft.com/office/officeart/2005/8/layout/process3"/>
    <dgm:cxn modelId="{9BDFEF5B-4F8B-4EC4-9344-5FB381C14DFF}" type="presParOf" srcId="{9617750D-CF90-4849-AA8E-1EA623823523}" destId="{052C214B-05FC-49DA-B7B7-69721261123C}" srcOrd="0" destOrd="0" presId="urn:microsoft.com/office/officeart/2005/8/layout/process3"/>
    <dgm:cxn modelId="{35CABC45-F685-4414-8024-40B07D263EF4}" type="presParOf" srcId="{9617750D-CF90-4849-AA8E-1EA623823523}" destId="{9D80D761-7B5A-47A4-AACF-CBCEDB72C5B1}" srcOrd="1" destOrd="0" presId="urn:microsoft.com/office/officeart/2005/8/layout/process3"/>
    <dgm:cxn modelId="{84F3880D-E724-46D9-A06E-7D4522254DD7}" type="presParOf" srcId="{9617750D-CF90-4849-AA8E-1EA623823523}" destId="{3AA54955-621D-4922-BDAD-C7A77DB797DE}" srcOrd="2" destOrd="0" presId="urn:microsoft.com/office/officeart/2005/8/layout/process3"/>
    <dgm:cxn modelId="{6B813869-0E8B-46AD-815F-526FBA6BDF51}" type="presParOf" srcId="{49C2228E-4E62-402F-84AA-299EEA607DDA}" destId="{F538543F-792B-484E-9835-11320A89C31F}" srcOrd="1" destOrd="0" presId="urn:microsoft.com/office/officeart/2005/8/layout/process3"/>
    <dgm:cxn modelId="{B784EEBD-5705-4692-8165-E4F5BE65D84A}" type="presParOf" srcId="{F538543F-792B-484E-9835-11320A89C31F}" destId="{D2DE6C75-9BEC-40F0-A80B-B195F28077D6}" srcOrd="0" destOrd="0" presId="urn:microsoft.com/office/officeart/2005/8/layout/process3"/>
    <dgm:cxn modelId="{1B55E023-708C-48EA-881A-C6C73DED4406}" type="presParOf" srcId="{49C2228E-4E62-402F-84AA-299EEA607DDA}" destId="{AE7EECB0-294E-4021-B2AB-CA2473A672A5}" srcOrd="2" destOrd="0" presId="urn:microsoft.com/office/officeart/2005/8/layout/process3"/>
    <dgm:cxn modelId="{0CD71D7D-260A-40F6-946B-F0A9020559DB}" type="presParOf" srcId="{AE7EECB0-294E-4021-B2AB-CA2473A672A5}" destId="{A8BE1027-8745-40B0-8595-210ED8F15684}" srcOrd="0" destOrd="0" presId="urn:microsoft.com/office/officeart/2005/8/layout/process3"/>
    <dgm:cxn modelId="{69FD29ED-76C7-4969-88FE-D0FE6A81BD08}" type="presParOf" srcId="{AE7EECB0-294E-4021-B2AB-CA2473A672A5}" destId="{4758CAF4-D56D-45C5-B2A9-20D9C171C9DE}" srcOrd="1" destOrd="0" presId="urn:microsoft.com/office/officeart/2005/8/layout/process3"/>
    <dgm:cxn modelId="{48430D64-AE01-4DF2-BAE2-E36B65F5A1D4}" type="presParOf" srcId="{AE7EECB0-294E-4021-B2AB-CA2473A672A5}" destId="{5D6F8D91-1C31-499C-A90C-1D73C3EB2350}" srcOrd="2" destOrd="0" presId="urn:microsoft.com/office/officeart/2005/8/layout/process3"/>
    <dgm:cxn modelId="{22957C01-D937-4196-9C7E-F12D75971505}" type="presParOf" srcId="{49C2228E-4E62-402F-84AA-299EEA607DDA}" destId="{BE8A03D7-9620-4BE6-942E-6939EE9C7A97}" srcOrd="3" destOrd="0" presId="urn:microsoft.com/office/officeart/2005/8/layout/process3"/>
    <dgm:cxn modelId="{8B044A49-2928-44DF-8B31-42CD2836A491}" type="presParOf" srcId="{BE8A03D7-9620-4BE6-942E-6939EE9C7A97}" destId="{AE1B22CA-A924-4553-88A8-E566A129EFE7}" srcOrd="0" destOrd="0" presId="urn:microsoft.com/office/officeart/2005/8/layout/process3"/>
    <dgm:cxn modelId="{6E76FCDE-2F5A-438C-B3E8-DFB4F714ABA3}" type="presParOf" srcId="{49C2228E-4E62-402F-84AA-299EEA607DDA}" destId="{3889FE80-035B-4A7B-90B8-F09F210C4473}" srcOrd="4" destOrd="0" presId="urn:microsoft.com/office/officeart/2005/8/layout/process3"/>
    <dgm:cxn modelId="{B08B254B-33D1-43F2-9D0A-B3C0DE7D3A75}" type="presParOf" srcId="{3889FE80-035B-4A7B-90B8-F09F210C4473}" destId="{C73D9A5C-B36C-4987-A80B-F8AE5CEC4882}" srcOrd="0" destOrd="0" presId="urn:microsoft.com/office/officeart/2005/8/layout/process3"/>
    <dgm:cxn modelId="{FFF64D45-F963-403E-9B83-83A27D106303}" type="presParOf" srcId="{3889FE80-035B-4A7B-90B8-F09F210C4473}" destId="{2BF48297-C2FD-4AE3-9F80-985C593759C2}" srcOrd="1" destOrd="0" presId="urn:microsoft.com/office/officeart/2005/8/layout/process3"/>
    <dgm:cxn modelId="{269BAA97-60CD-4F02-B74D-741F6D4D8FD5}" type="presParOf" srcId="{3889FE80-035B-4A7B-90B8-F09F210C4473}" destId="{1544F1A1-FD8F-45A9-A25B-ADBDD1E8C006}" srcOrd="2" destOrd="0" presId="urn:microsoft.com/office/officeart/2005/8/layout/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D80D761-7B5A-47A4-AACF-CBCEDB72C5B1}">
      <dsp:nvSpPr>
        <dsp:cNvPr id="0" name=""/>
        <dsp:cNvSpPr/>
      </dsp:nvSpPr>
      <dsp:spPr>
        <a:xfrm>
          <a:off x="202064" y="-140555"/>
          <a:ext cx="1729417" cy="42166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marL="0" lvl="0" indent="0" algn="l" defTabSz="466725">
            <a:lnSpc>
              <a:spcPct val="90000"/>
            </a:lnSpc>
            <a:spcBef>
              <a:spcPct val="0"/>
            </a:spcBef>
            <a:spcAft>
              <a:spcPct val="35000"/>
            </a:spcAft>
            <a:buNone/>
          </a:pPr>
          <a:r>
            <a:rPr lang="en-US" sz="1050" kern="1200"/>
            <a:t>2021-22	</a:t>
          </a:r>
        </a:p>
      </dsp:txBody>
      <dsp:txXfrm>
        <a:off x="202064" y="-140555"/>
        <a:ext cx="1729417" cy="281110"/>
      </dsp:txXfrm>
    </dsp:sp>
    <dsp:sp modelId="{3AA54955-621D-4922-BDAD-C7A77DB797DE}">
      <dsp:nvSpPr>
        <dsp:cNvPr id="0" name=""/>
        <dsp:cNvSpPr/>
      </dsp:nvSpPr>
      <dsp:spPr>
        <a:xfrm>
          <a:off x="0" y="129052"/>
          <a:ext cx="2828963" cy="5425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64008" rIns="64008" bIns="64008" numCol="1" spcCol="1270" anchor="t" anchorCtr="0">
          <a:noAutofit/>
        </a:bodyPr>
        <a:lstStyle/>
        <a:p>
          <a:pPr marL="57150" lvl="1" indent="-57150" algn="l" defTabSz="400050">
            <a:lnSpc>
              <a:spcPct val="90000"/>
            </a:lnSpc>
            <a:spcBef>
              <a:spcPct val="0"/>
            </a:spcBef>
            <a:spcAft>
              <a:spcPct val="15000"/>
            </a:spcAft>
            <a:buChar char="•"/>
          </a:pPr>
          <a:r>
            <a:rPr lang="en-US" sz="900" kern="1200"/>
            <a:t>Base year for the 2022-23 proposal </a:t>
          </a:r>
        </a:p>
      </dsp:txBody>
      <dsp:txXfrm>
        <a:off x="15892" y="144944"/>
        <a:ext cx="2797179" cy="510815"/>
      </dsp:txXfrm>
    </dsp:sp>
    <dsp:sp modelId="{F538543F-792B-484E-9835-11320A89C31F}">
      <dsp:nvSpPr>
        <dsp:cNvPr id="0" name=""/>
        <dsp:cNvSpPr/>
      </dsp:nvSpPr>
      <dsp:spPr>
        <a:xfrm>
          <a:off x="2057960" y="-88403"/>
          <a:ext cx="1683833" cy="176806"/>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77800">
            <a:lnSpc>
              <a:spcPct val="90000"/>
            </a:lnSpc>
            <a:spcBef>
              <a:spcPct val="0"/>
            </a:spcBef>
            <a:spcAft>
              <a:spcPct val="35000"/>
            </a:spcAft>
            <a:buNone/>
          </a:pPr>
          <a:endParaRPr lang="en-US" sz="400" kern="1200"/>
        </a:p>
      </dsp:txBody>
      <dsp:txXfrm>
        <a:off x="2057960" y="-53042"/>
        <a:ext cx="1630791" cy="106084"/>
      </dsp:txXfrm>
    </dsp:sp>
    <dsp:sp modelId="{4758CAF4-D56D-45C5-B2A9-20D9C171C9DE}">
      <dsp:nvSpPr>
        <dsp:cNvPr id="0" name=""/>
        <dsp:cNvSpPr/>
      </dsp:nvSpPr>
      <dsp:spPr>
        <a:xfrm>
          <a:off x="3764438" y="-140555"/>
          <a:ext cx="1729417" cy="42166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marL="0" lvl="0" indent="0" algn="l" defTabSz="466725">
            <a:lnSpc>
              <a:spcPct val="90000"/>
            </a:lnSpc>
            <a:spcBef>
              <a:spcPct val="0"/>
            </a:spcBef>
            <a:spcAft>
              <a:spcPct val="35000"/>
            </a:spcAft>
            <a:buNone/>
          </a:pPr>
          <a:r>
            <a:rPr lang="en-US" sz="1050" kern="1200"/>
            <a:t>2022-23</a:t>
          </a:r>
        </a:p>
      </dsp:txBody>
      <dsp:txXfrm>
        <a:off x="3764438" y="-140555"/>
        <a:ext cx="1729417" cy="281110"/>
      </dsp:txXfrm>
    </dsp:sp>
    <dsp:sp modelId="{5D6F8D91-1C31-499C-A90C-1D73C3EB2350}">
      <dsp:nvSpPr>
        <dsp:cNvPr id="0" name=""/>
        <dsp:cNvSpPr/>
      </dsp:nvSpPr>
      <dsp:spPr>
        <a:xfrm>
          <a:off x="3519766" y="140555"/>
          <a:ext cx="2908188" cy="5425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64008" rIns="64008" bIns="64008" numCol="1" spcCol="1270" anchor="t" anchorCtr="0">
          <a:noAutofit/>
        </a:bodyPr>
        <a:lstStyle/>
        <a:p>
          <a:pPr marL="57150" lvl="1" indent="-57150" algn="l" defTabSz="400050">
            <a:lnSpc>
              <a:spcPct val="90000"/>
            </a:lnSpc>
            <a:spcBef>
              <a:spcPct val="0"/>
            </a:spcBef>
            <a:spcAft>
              <a:spcPct val="15000"/>
            </a:spcAft>
            <a:buChar char="•"/>
          </a:pPr>
          <a:r>
            <a:rPr lang="en-US" sz="900" kern="1200"/>
            <a:t>Last proposal preparation year</a:t>
          </a:r>
        </a:p>
        <a:p>
          <a:pPr marL="57150" lvl="1" indent="-57150" algn="l" defTabSz="400050">
            <a:lnSpc>
              <a:spcPct val="90000"/>
            </a:lnSpc>
            <a:spcBef>
              <a:spcPct val="0"/>
            </a:spcBef>
            <a:spcAft>
              <a:spcPct val="15000"/>
            </a:spcAft>
            <a:buChar char="•"/>
          </a:pPr>
          <a:r>
            <a:rPr lang="en-US" sz="900" kern="1200"/>
            <a:t>Includes reconciled actual financial activity through December 2022</a:t>
          </a:r>
        </a:p>
      </dsp:txBody>
      <dsp:txXfrm>
        <a:off x="3535658" y="156447"/>
        <a:ext cx="2876404" cy="510815"/>
      </dsp:txXfrm>
    </dsp:sp>
    <dsp:sp modelId="{BE8A03D7-9620-4BE6-942E-6939EE9C7A97}">
      <dsp:nvSpPr>
        <dsp:cNvPr id="0" name=""/>
        <dsp:cNvSpPr/>
      </dsp:nvSpPr>
      <dsp:spPr>
        <a:xfrm>
          <a:off x="5579126" y="-85611"/>
          <a:ext cx="1749040" cy="171222"/>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177800">
            <a:lnSpc>
              <a:spcPct val="90000"/>
            </a:lnSpc>
            <a:spcBef>
              <a:spcPct val="0"/>
            </a:spcBef>
            <a:spcAft>
              <a:spcPct val="35000"/>
            </a:spcAft>
            <a:buNone/>
          </a:pPr>
          <a:endParaRPr lang="en-US" sz="400" kern="1200"/>
        </a:p>
      </dsp:txBody>
      <dsp:txXfrm>
        <a:off x="5579126" y="-51367"/>
        <a:ext cx="1697673" cy="102734"/>
      </dsp:txXfrm>
    </dsp:sp>
    <dsp:sp modelId="{2BF48297-C2FD-4AE3-9F80-985C593759C2}">
      <dsp:nvSpPr>
        <dsp:cNvPr id="0" name=""/>
        <dsp:cNvSpPr/>
      </dsp:nvSpPr>
      <dsp:spPr>
        <a:xfrm>
          <a:off x="7357526" y="-140555"/>
          <a:ext cx="1729417" cy="421666"/>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41910" numCol="1" spcCol="1270" anchor="t" anchorCtr="0">
          <a:noAutofit/>
        </a:bodyPr>
        <a:lstStyle/>
        <a:p>
          <a:pPr marL="0" lvl="0" indent="0" algn="l" defTabSz="466725">
            <a:lnSpc>
              <a:spcPct val="90000"/>
            </a:lnSpc>
            <a:spcBef>
              <a:spcPct val="0"/>
            </a:spcBef>
            <a:spcAft>
              <a:spcPct val="35000"/>
            </a:spcAft>
            <a:buNone/>
          </a:pPr>
          <a:r>
            <a:rPr lang="en-US" sz="1050" kern="1200"/>
            <a:t>2023-24</a:t>
          </a:r>
        </a:p>
      </dsp:txBody>
      <dsp:txXfrm>
        <a:off x="7357526" y="-140555"/>
        <a:ext cx="1729417" cy="281110"/>
      </dsp:txXfrm>
    </dsp:sp>
    <dsp:sp modelId="{1544F1A1-FD8F-45A9-A25B-ADBDD1E8C006}">
      <dsp:nvSpPr>
        <dsp:cNvPr id="0" name=""/>
        <dsp:cNvSpPr/>
      </dsp:nvSpPr>
      <dsp:spPr>
        <a:xfrm>
          <a:off x="7130624" y="140555"/>
          <a:ext cx="2890392" cy="5425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64008" rIns="64008" bIns="64008" numCol="1" spcCol="1270" anchor="t" anchorCtr="0">
          <a:noAutofit/>
        </a:bodyPr>
        <a:lstStyle/>
        <a:p>
          <a:pPr marL="57150" lvl="1" indent="-57150" algn="l" defTabSz="400050">
            <a:lnSpc>
              <a:spcPct val="90000"/>
            </a:lnSpc>
            <a:spcBef>
              <a:spcPct val="0"/>
            </a:spcBef>
            <a:spcAft>
              <a:spcPct val="15000"/>
            </a:spcAft>
            <a:buChar char="•"/>
          </a:pPr>
          <a:r>
            <a:rPr lang="en-US" sz="900" kern="1200"/>
            <a:t>Activity ceased in October 2023</a:t>
          </a:r>
        </a:p>
        <a:p>
          <a:pPr marL="57150" lvl="1" indent="-57150" algn="l" defTabSz="400050">
            <a:lnSpc>
              <a:spcPct val="90000"/>
            </a:lnSpc>
            <a:spcBef>
              <a:spcPct val="0"/>
            </a:spcBef>
            <a:spcAft>
              <a:spcPct val="15000"/>
            </a:spcAft>
            <a:buChar char="•"/>
          </a:pPr>
          <a:r>
            <a:rPr lang="en-US" sz="900" kern="1200"/>
            <a:t>Discontinuation requested in December 2023</a:t>
          </a:r>
        </a:p>
        <a:p>
          <a:pPr marL="57150" lvl="1" indent="-57150" algn="l" defTabSz="400050">
            <a:lnSpc>
              <a:spcPct val="90000"/>
            </a:lnSpc>
            <a:spcBef>
              <a:spcPct val="0"/>
            </a:spcBef>
            <a:spcAft>
              <a:spcPct val="15000"/>
            </a:spcAft>
            <a:buChar char="•"/>
          </a:pPr>
          <a:endParaRPr lang="en-US" sz="900" kern="1200"/>
        </a:p>
      </dsp:txBody>
      <dsp:txXfrm>
        <a:off x="7146516" y="156447"/>
        <a:ext cx="2858608" cy="510815"/>
      </dsp:txXfrm>
    </dsp:sp>
  </dsp:spTree>
</dsp:drawing>
</file>

<file path=xl/diagrams/layout1.xml><?xml version="1.0" encoding="utf-8"?>
<dgm:layoutDef xmlns:dgm="http://schemas.openxmlformats.org/drawingml/2006/diagram" xmlns:a="http://schemas.openxmlformats.org/drawingml/2006/main" uniqueId="urn:microsoft.com/office/officeart/2005/8/layout/process3">
  <dgm:title val=""/>
  <dgm:desc val=""/>
  <dgm:catLst>
    <dgm:cat type="process" pri="2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3" destOrd="0"/>
        <dgm:cxn modelId="12" srcId="1" destId="11" srcOrd="0" destOrd="0"/>
        <dgm:cxn modelId="23" srcId="2" destId="21" srcOrd="0" destOrd="0"/>
        <dgm:cxn modelId="34" srcId="3" destId="31" srcOrd="0" destOrd="0"/>
      </dgm:cxnLst>
      <dgm:bg/>
      <dgm:whole/>
    </dgm:dataModel>
  </dgm:sampData>
  <dgm:style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fact="0.3333"/>
      <dgm:constr type="w" for="des" forName="parTx"/>
      <dgm:constr type="h" for="des" forName="parTx" op="equ"/>
      <dgm:constr type="h" for="des" forName="parSh" op="equ"/>
      <dgm:constr type="w" for="des" forName="desTx"/>
      <dgm:constr type="h" for="des" forName="desTx" op="equ"/>
      <dgm:constr type="w" for="des" forName="parSh"/>
      <dgm:constr type="primFontSz" for="des" forName="parTx" val="65"/>
      <dgm:constr type="secFontSz" for="des" forName="desTx" refType="primFontSz" refFor="des" refForName="parTx" op="equ"/>
      <dgm:constr type="primFontSz" for="des" forName="connTx" refType="primFontSz" refFor="des" refForName="parTx" fact="0.8"/>
      <dgm:constr type="primFontSz" for="des" forName="connTx" refType="primFontSz" refFor="des" refForName="parTx" op="lte" fact="0.8"/>
      <dgm:constr type="h" for="des" forName="parTx" refType="primFontSz" refFor="des" refForName="parTx" fact="0.8"/>
      <dgm:constr type="h" for="des" forName="parSh" refType="primFontSz" refFor="des" refForName="parTx" fact="1.2"/>
      <dgm:constr type="h" for="des" forName="desTx" refType="primFontSz" refFor="des" refForName="parTx" fact="1.6"/>
      <dgm:constr type="h" for="des" forName="parSh" refType="h" refFor="des" refForName="parTx" op="lte" fact="1.5"/>
      <dgm:constr type="h" for="des" forName="parSh" refType="h" refFor="des" refForName="parTx" op="gte" fact="1.5"/>
    </dgm:constrLst>
    <dgm:ruleLst>
      <dgm:rule type="w" for="ch" forName="composite" val="0" fact="NaN" max="NaN"/>
      <dgm:rule type="primFontSz" for="des" forName="parTx" val="5" fact="NaN" max="NaN"/>
    </dgm:ruleLst>
    <dgm:forEach name="Name3" axis="ch" ptType="node">
      <dgm:layoutNode name="composite">
        <dgm:alg type="composite"/>
        <dgm:shape xmlns:r="http://schemas.openxmlformats.org/officeDocument/2006/relationships" r:blip="">
          <dgm:adjLst/>
        </dgm:shape>
        <dgm:presOf/>
        <dgm:choose name="Name4">
          <dgm:if name="Name5" func="var" arg="dir" op="equ" val="norm">
            <dgm:constrLst>
              <dgm:constr type="h" refType="w" fact="1000"/>
              <dgm:constr type="l" for="ch" forName="parTx"/>
              <dgm:constr type="w" for="ch" forName="parTx" refType="w" fact="0.83"/>
              <dgm:constr type="t" for="ch" forName="parTx"/>
              <dgm:constr type="l" for="ch" forName="parSh"/>
              <dgm:constr type="w" for="ch" forName="parSh" refType="w" refFor="ch" refForName="parTx"/>
              <dgm:constr type="t" for="ch" forName="parSh"/>
              <dgm:constr type="l" for="ch" forName="desTx" refType="w" fact="0.17"/>
              <dgm:constr type="w" for="ch" forName="desTx" refType="w" refFor="ch" refForName="parTx"/>
              <dgm:constr type="t" for="ch" forName="desTx" refType="h" refFor="ch" refForName="parTx"/>
            </dgm:constrLst>
          </dgm:if>
          <dgm:else name="Name6">
            <dgm:constrLst>
              <dgm:constr type="h" refType="w" fact="1000"/>
              <dgm:constr type="l" for="ch" forName="parTx" refType="w" fact="0.17"/>
              <dgm:constr type="w" for="ch" forName="parTx" refType="w" fact="0.83"/>
              <dgm:constr type="t" for="ch" forName="parTx"/>
              <dgm:constr type="l" for="ch" forName="parSh" refType="w" fact="0.15"/>
              <dgm:constr type="w" for="ch" forName="parSh" refType="w" refFor="ch" refForName="parTx"/>
              <dgm:constr type="t" for="ch" forName="parSh"/>
              <dgm:constr type="l" for="ch" forName="desTx"/>
              <dgm:constr type="w" for="ch" forName="desTx" refType="w" refFor="ch" refForName="parTx"/>
              <dgm:constr type="t" for="ch" forName="desTx" refType="h" refFor="ch" refForName="parTx"/>
            </dgm:constrLst>
          </dgm:else>
        </dgm:choose>
        <dgm:ruleLst>
          <dgm:rule type="h" val="INF" fact="NaN" max="NaN"/>
        </dgm:ruleLst>
        <dgm:layoutNode name="parTx">
          <dgm:varLst>
            <dgm:chMax val="0"/>
            <dgm:chPref val="0"/>
            <dgm:bulletEnabled val="1"/>
          </dgm:varLst>
          <dgm:alg type="tx">
            <dgm:param type="parTxLTRAlign" val="l"/>
            <dgm:param type="parTxRTLAlign" val="r"/>
            <dgm:param type="txAnchorVert" val="t"/>
          </dgm:alg>
          <dgm:shape xmlns:r="http://schemas.openxmlformats.org/officeDocument/2006/relationships" type="rect" r:blip="" zOrderOff="1" hideGeom="1">
            <dgm:adjLst>
              <dgm:adj idx="1" val="0.1"/>
            </dgm:adjLst>
          </dgm:shape>
          <dgm:presOf axis="self" ptType="node"/>
          <dgm:constrLst>
            <dgm:constr type="h" refType="w" op="lte" fact="0.4"/>
            <dgm:constr type="bMarg" refType="primFontSz" fact="0.3"/>
            <dgm:constr type="h"/>
          </dgm:constrLst>
          <dgm:ruleLst>
            <dgm:rule type="h" val="INF" fact="NaN" max="NaN"/>
          </dgm:ruleLst>
        </dgm:layoutNode>
        <dgm:layoutNode name="parSh">
          <dgm:alg type="sp"/>
          <dgm:shape xmlns:r="http://schemas.openxmlformats.org/officeDocument/2006/relationships" type="roundRect" r:blip="">
            <dgm:adjLst>
              <dgm:adj idx="1" val="0.1"/>
            </dgm:adjLst>
          </dgm:shape>
          <dgm:presOf axis="self" ptType="node"/>
          <dgm:constrLst>
            <dgm:constr type="h"/>
          </dgm:constrLst>
          <dgm:ruleLst/>
        </dgm:layoutNode>
        <dgm:layoutNode name="desTx" styleLbl="fgAcc1">
          <dgm:varLst>
            <dgm:bulletEnabled val="1"/>
          </dgm:varLst>
          <dgm:alg type="tx">
            <dgm:param type="stBulletLvl" val="1"/>
          </dgm:alg>
          <dgm:shape xmlns:r="http://schemas.openxmlformats.org/officeDocument/2006/relationships" type="roundRect" r:blip="">
            <dgm:adjLst>
              <dgm:adj idx="1" val="0.1"/>
            </dgm:adjLst>
          </dgm:shape>
          <dgm:presOf axis="des" ptType="node"/>
          <dgm:constrLst>
            <dgm:constr type="secFontSz" val="65"/>
            <dgm:constr type="primFontSz" refType="secFontSz"/>
            <dgm:constr type="h"/>
          </dgm:constrLst>
          <dgm:ruleLst>
            <dgm:rule type="h" val="INF" fact="NaN" max="NaN"/>
          </dgm:ruleLst>
        </dgm:layoutNode>
      </dgm:layoutNode>
      <dgm:forEach name="sibTransForEach" axis="followSib" ptType="sibTrans" cnt="1">
        <dgm:layoutNode name="sibTrans">
          <dgm:alg type="conn">
            <dgm:param type="begPts" val="auto"/>
            <dgm:param type="endPts" val="auto"/>
            <dgm:param type="srcNode" val="parTx"/>
            <dgm:param type="dstNode" val="parTx"/>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329712</xdr:colOff>
      <xdr:row>13</xdr:row>
      <xdr:rowOff>263769</xdr:rowOff>
    </xdr:from>
    <xdr:to>
      <xdr:col>1</xdr:col>
      <xdr:colOff>10356606</xdr:colOff>
      <xdr:row>14</xdr:row>
      <xdr:rowOff>7327</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1831061</xdr:colOff>
      <xdr:row>2</xdr:row>
      <xdr:rowOff>69273</xdr:rowOff>
    </xdr:from>
    <xdr:to>
      <xdr:col>6</xdr:col>
      <xdr:colOff>26199</xdr:colOff>
      <xdr:row>3</xdr:row>
      <xdr:rowOff>11375</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5329334" y="783648"/>
          <a:ext cx="268990" cy="180227"/>
        </a:xfrm>
        <a:prstGeom prst="rect">
          <a:avLst/>
        </a:prstGeom>
        <a:solidFill>
          <a:schemeClr val="bg1">
            <a:lumMod val="9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solidFill>
                <a:sysClr val="windowText" lastClr="000000"/>
              </a:solidFill>
            </a:rPr>
            <a:t>2</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6</xdr:col>
      <xdr:colOff>716623</xdr:colOff>
      <xdr:row>2</xdr:row>
      <xdr:rowOff>358270</xdr:rowOff>
    </xdr:from>
    <xdr:to>
      <xdr:col>6</xdr:col>
      <xdr:colOff>959511</xdr:colOff>
      <xdr:row>4</xdr:row>
      <xdr:rowOff>17012</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5405854" y="717955"/>
          <a:ext cx="242888" cy="187169"/>
        </a:xfrm>
        <a:prstGeom prst="rect">
          <a:avLst/>
        </a:prstGeom>
        <a:solidFill>
          <a:schemeClr val="bg1">
            <a:lumMod val="9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solidFill>
                <a:sysClr val="windowText" lastClr="000000"/>
              </a:solidFill>
            </a:rPr>
            <a:t>2</a:t>
          </a:r>
        </a:p>
      </xdr:txBody>
    </xdr:sp>
    <xdr:clientData fLock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15</xdr:row>
          <xdr:rowOff>50800</xdr:rowOff>
        </xdr:from>
        <xdr:to>
          <xdr:col>1</xdr:col>
          <xdr:colOff>514350</xdr:colOff>
          <xdr:row>16</xdr:row>
          <xdr:rowOff>76200</xdr:rowOff>
        </xdr:to>
        <xdr:sp macro="" textlink="">
          <xdr:nvSpPr>
            <xdr:cNvPr id="8193" name="CheckBox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17</xdr:row>
          <xdr:rowOff>50800</xdr:rowOff>
        </xdr:from>
        <xdr:to>
          <xdr:col>1</xdr:col>
          <xdr:colOff>514350</xdr:colOff>
          <xdr:row>18</xdr:row>
          <xdr:rowOff>50800</xdr:rowOff>
        </xdr:to>
        <xdr:sp macro="" textlink="">
          <xdr:nvSpPr>
            <xdr:cNvPr id="8194" name="CheckBox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50800</xdr:rowOff>
        </xdr:from>
        <xdr:to>
          <xdr:col>3</xdr:col>
          <xdr:colOff>31750</xdr:colOff>
          <xdr:row>20</xdr:row>
          <xdr:rowOff>38100</xdr:rowOff>
        </xdr:to>
        <xdr:sp macro="" textlink="">
          <xdr:nvSpPr>
            <xdr:cNvPr id="8195" name="CheckBox4"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22</xdr:row>
          <xdr:rowOff>31750</xdr:rowOff>
        </xdr:from>
        <xdr:to>
          <xdr:col>3</xdr:col>
          <xdr:colOff>25400</xdr:colOff>
          <xdr:row>23</xdr:row>
          <xdr:rowOff>31750</xdr:rowOff>
        </xdr:to>
        <xdr:sp macro="" textlink="">
          <xdr:nvSpPr>
            <xdr:cNvPr id="8196" name="CheckBox5"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25</xdr:row>
          <xdr:rowOff>19050</xdr:rowOff>
        </xdr:from>
        <xdr:to>
          <xdr:col>3</xdr:col>
          <xdr:colOff>44450</xdr:colOff>
          <xdr:row>26</xdr:row>
          <xdr:rowOff>31750</xdr:rowOff>
        </xdr:to>
        <xdr:sp macro="" textlink="">
          <xdr:nvSpPr>
            <xdr:cNvPr id="8197" name="CheckBox7"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26</xdr:row>
          <xdr:rowOff>57150</xdr:rowOff>
        </xdr:from>
        <xdr:to>
          <xdr:col>3</xdr:col>
          <xdr:colOff>25400</xdr:colOff>
          <xdr:row>27</xdr:row>
          <xdr:rowOff>31750</xdr:rowOff>
        </xdr:to>
        <xdr:sp macro="" textlink="">
          <xdr:nvSpPr>
            <xdr:cNvPr id="8198" name="CheckBox8"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31750</xdr:rowOff>
        </xdr:from>
        <xdr:to>
          <xdr:col>1</xdr:col>
          <xdr:colOff>514350</xdr:colOff>
          <xdr:row>29</xdr:row>
          <xdr:rowOff>57150</xdr:rowOff>
        </xdr:to>
        <xdr:sp macro="" textlink="">
          <xdr:nvSpPr>
            <xdr:cNvPr id="8199" name="CheckBox9"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29</xdr:row>
          <xdr:rowOff>38100</xdr:rowOff>
        </xdr:from>
        <xdr:to>
          <xdr:col>3</xdr:col>
          <xdr:colOff>25400</xdr:colOff>
          <xdr:row>30</xdr:row>
          <xdr:rowOff>57150</xdr:rowOff>
        </xdr:to>
        <xdr:sp macro="" textlink="">
          <xdr:nvSpPr>
            <xdr:cNvPr id="8200" name="CheckBox10"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absolute">
    <xdr:from>
      <xdr:col>7</xdr:col>
      <xdr:colOff>89315</xdr:colOff>
      <xdr:row>3</xdr:row>
      <xdr:rowOff>10206</xdr:rowOff>
    </xdr:from>
    <xdr:to>
      <xdr:col>7</xdr:col>
      <xdr:colOff>350243</xdr:colOff>
      <xdr:row>3</xdr:row>
      <xdr:rowOff>210911</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4361958" y="1299483"/>
          <a:ext cx="260928" cy="200705"/>
        </a:xfrm>
        <a:prstGeom prst="rect">
          <a:avLst/>
        </a:prstGeom>
        <a:solidFill>
          <a:schemeClr val="bg1">
            <a:lumMod val="9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solidFill>
                <a:sysClr val="windowText" lastClr="000000"/>
              </a:solidFill>
            </a:rPr>
            <a:t>2</a:t>
          </a: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brm.ucsf.edu/sites/brm.ucsf.edu/files/wysiwyg/2a.Preparing%20a%20Renewal%20Proposal%20Exerci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Recharge Rates"/>
      <sheetName val="Fund Rec"/>
      <sheetName val="STIP Rec"/>
      <sheetName val="Actuals - blank"/>
      <sheetName val="Actuals - filled"/>
      <sheetName val="Volume - blank"/>
      <sheetName val="Volume - filled"/>
      <sheetName val="Staffing - blank"/>
      <sheetName val="Staffing - Filled"/>
      <sheetName val="Depreciation"/>
      <sheetName val="Non-Salary - blank"/>
      <sheetName val="Non-Salary - filled"/>
      <sheetName val="Lab Tech - blank"/>
      <sheetName val="Lab Tech - filled"/>
      <sheetName val="Direct-Allocable - blank"/>
      <sheetName val="Direct-Allocable - filled"/>
      <sheetName val="Direct Expenses -blank"/>
      <sheetName val="Direct Expenses - filled"/>
      <sheetName val="Allocable Expenses - blank"/>
      <sheetName val="Allocable Expenses - filled"/>
      <sheetName val="Reconciliation - blank"/>
      <sheetName val="Reconciliation - filled"/>
      <sheetName val="Total Cost - Blank"/>
      <sheetName val="Total Cost - Filled"/>
      <sheetName val="Rate Calculation - blank"/>
      <sheetName val="Rate Calculation - filled"/>
      <sheetName val="Proposal Page 3 - blank"/>
      <sheetName val="Proposal Page 3 - filled"/>
    </sheetNames>
    <sheetDataSet>
      <sheetData sheetId="0"/>
      <sheetData sheetId="1">
        <row r="7">
          <cell r="F7">
            <v>85839</v>
          </cell>
        </row>
        <row r="8">
          <cell r="E8">
            <v>74700</v>
          </cell>
          <cell r="H8">
            <v>4161</v>
          </cell>
        </row>
      </sheetData>
      <sheetData sheetId="2"/>
      <sheetData sheetId="3"/>
      <sheetData sheetId="4"/>
      <sheetData sheetId="5"/>
      <sheetData sheetId="6"/>
      <sheetData sheetId="7"/>
      <sheetData sheetId="8"/>
      <sheetData sheetId="9"/>
      <sheetData sheetId="10"/>
      <sheetData sheetId="11"/>
      <sheetData sheetId="12"/>
      <sheetData sheetId="13"/>
      <sheetData sheetId="14">
        <row r="15">
          <cell r="G15">
            <v>82567</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 displayName="Table4" ref="B6:G7" totalsRowShown="0" headerRowDxfId="33" dataDxfId="31" headerRowBorderDxfId="32" tableBorderDxfId="30" totalsRowBorderDxfId="29">
  <autoFilter ref="B6:G7" xr:uid="{00000000-0009-0000-0100-000001000000}"/>
  <tableColumns count="6">
    <tableColumn id="1" xr3:uid="{00000000-0010-0000-0000-000001000000}" name="Business Unit" dataDxfId="28"/>
    <tableColumn id="2" xr3:uid="{00000000-0010-0000-0000-000002000000}" name="Dept ID" dataDxfId="27"/>
    <tableColumn id="3" xr3:uid="{00000000-0010-0000-0000-000003000000}" name="Fund" dataDxfId="26"/>
    <tableColumn id="4" xr3:uid="{00000000-0010-0000-0000-000004000000}" name="Project" dataDxfId="25"/>
    <tableColumn id="5" xr3:uid="{00000000-0010-0000-0000-000005000000}" name="Parent / Award ID" dataDxfId="24"/>
    <tableColumn id="6" xr3:uid="{00000000-0010-0000-0000-000006000000}" name="Net Position - _x000a_End of period (Deficit)/Surplus" dataDxfId="23" dataCellStyle="C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6" displayName="Table6" ref="I6:I7" totalsRowShown="0" headerRowDxfId="22" dataDxfId="20" headerRowBorderDxfId="21" tableBorderDxfId="19" totalsRowBorderDxfId="18" dataCellStyle="Comma">
  <autoFilter ref="I6:I7" xr:uid="{00000000-0009-0000-0100-000002000000}"/>
  <tableColumns count="1">
    <tableColumn id="1" xr3:uid="{00000000-0010-0000-0100-000001000000}" name="Total Unallowable Expenses" dataDxfId="17"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7" displayName="Table7" ref="M6:M7" totalsRowShown="0" headerRowDxfId="16" dataDxfId="14" headerRowBorderDxfId="15" tableBorderDxfId="13" totalsRowBorderDxfId="12" dataCellStyle="Comma">
  <autoFilter ref="M6:M7" xr:uid="{00000000-0009-0000-0100-000003000000}"/>
  <tableColumns count="1">
    <tableColumn id="1" xr3:uid="{00000000-0010-0000-0200-000001000000}" name="Adjusted Net Position (Deficit)/Surplus" dataDxfId="11" dataCellStyle="Comma">
      <calculatedColumnFormula>Table4[Net Position - 
End of period (Deficit)/Surplus]+Table65[Total Unallowable Expenses]</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65" displayName="Table65" ref="J6:J7" totalsRowShown="0" headerRowDxfId="10" dataDxfId="8" headerRowBorderDxfId="9" tableBorderDxfId="7" dataCellStyle="Comma">
  <autoFilter ref="J6:J7" xr:uid="{00000000-0009-0000-0100-000004000000}"/>
  <tableColumns count="1">
    <tableColumn id="1" xr3:uid="{00000000-0010-0000-0300-000001000000}" name="Total Unallowable Expenses" dataDxfId="6" dataCellStyle="Comma">
      <calculatedColumnFormula>'GL Transaction Detail'!$P$192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76" displayName="Table76" ref="L6:L7" totalsRowShown="0" headerRowDxfId="5" dataDxfId="3" headerRowBorderDxfId="4" tableBorderDxfId="2" totalsRowBorderDxfId="1" dataCellStyle="Comma">
  <autoFilter ref="L6:L7" xr:uid="{00000000-0009-0000-0100-000005000000}"/>
  <tableColumns count="1">
    <tableColumn id="1" xr3:uid="{00000000-0010-0000-0400-000001000000}" name="Adjusted Net Position (Deficit)/Surplus" dataDxfId="0" dataCellStyle="Comma">
      <calculatedColumnFormula>Table4[Net Position - 
End of period (Deficit)/Surplus]+Table6[Total Unallowable Expenses]</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7.xml"/><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control" Target="../activeX/activeX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showGridLines="0" tabSelected="1" zoomScale="120" zoomScaleNormal="120" workbookViewId="0">
      <selection activeCell="B22" sqref="B22"/>
    </sheetView>
  </sheetViews>
  <sheetFormatPr defaultColWidth="9.08984375" defaultRowHeight="20" x14ac:dyDescent="0.4"/>
  <cols>
    <col min="1" max="1" width="9.26953125" style="206" customWidth="1"/>
    <col min="2" max="2" width="181.7265625" style="206" customWidth="1"/>
    <col min="3" max="16384" width="9.08984375" style="206"/>
  </cols>
  <sheetData>
    <row r="1" spans="1:2" ht="23.5" x14ac:dyDescent="0.55000000000000004">
      <c r="B1" s="221" t="s">
        <v>147</v>
      </c>
    </row>
    <row r="2" spans="1:2" s="217" customFormat="1" ht="30.9" customHeight="1" x14ac:dyDescent="0.5">
      <c r="A2" s="216" t="s">
        <v>196</v>
      </c>
    </row>
    <row r="3" spans="1:2" ht="55.5" x14ac:dyDescent="0.4">
      <c r="B3" s="220" t="s">
        <v>232</v>
      </c>
    </row>
    <row r="4" spans="1:2" s="217" customFormat="1" ht="30.9" customHeight="1" x14ac:dyDescent="0.5">
      <c r="A4" s="216" t="s">
        <v>148</v>
      </c>
    </row>
    <row r="5" spans="1:2" x14ac:dyDescent="0.4">
      <c r="B5" s="214" t="s">
        <v>220</v>
      </c>
    </row>
    <row r="6" spans="1:2" x14ac:dyDescent="0.4">
      <c r="B6" s="215" t="s">
        <v>201</v>
      </c>
    </row>
    <row r="7" spans="1:2" x14ac:dyDescent="0.4">
      <c r="B7" s="215" t="s">
        <v>179</v>
      </c>
    </row>
    <row r="8" spans="1:2" s="217" customFormat="1" ht="30.9" customHeight="1" x14ac:dyDescent="0.5">
      <c r="A8" s="216" t="s">
        <v>221</v>
      </c>
    </row>
    <row r="9" spans="1:2" ht="37" x14ac:dyDescent="0.4">
      <c r="A9" s="209" t="s">
        <v>222</v>
      </c>
      <c r="B9" s="211" t="s">
        <v>224</v>
      </c>
    </row>
    <row r="10" spans="1:2" ht="17.399999999999999" customHeight="1" x14ac:dyDescent="0.45">
      <c r="A10" s="210" t="s">
        <v>223</v>
      </c>
      <c r="B10" s="208" t="s">
        <v>233</v>
      </c>
    </row>
    <row r="11" spans="1:2" ht="37" x14ac:dyDescent="0.4">
      <c r="A11" s="209" t="s">
        <v>225</v>
      </c>
      <c r="B11" s="211" t="s">
        <v>234</v>
      </c>
    </row>
    <row r="12" spans="1:2" s="146" customFormat="1" ht="18.5" x14ac:dyDescent="0.35">
      <c r="B12" s="187" t="s">
        <v>235</v>
      </c>
    </row>
    <row r="13" spans="1:2" s="146" customFormat="1" ht="18.5" x14ac:dyDescent="0.35">
      <c r="B13" s="187" t="s">
        <v>236</v>
      </c>
    </row>
    <row r="14" spans="1:2" ht="63" customHeight="1" x14ac:dyDescent="0.4">
      <c r="B14" s="207"/>
    </row>
    <row r="16" spans="1:2" ht="37" x14ac:dyDescent="0.45">
      <c r="A16" s="209" t="s">
        <v>226</v>
      </c>
      <c r="B16" s="212" t="s">
        <v>229</v>
      </c>
    </row>
    <row r="17" spans="1:2" ht="17.75" customHeight="1" x14ac:dyDescent="0.4">
      <c r="A17" s="209" t="s">
        <v>227</v>
      </c>
      <c r="B17" s="219" t="s">
        <v>230</v>
      </c>
    </row>
    <row r="18" spans="1:2" ht="18.399999999999999" customHeight="1" x14ac:dyDescent="0.4">
      <c r="A18" s="213"/>
      <c r="B18" s="214" t="s">
        <v>215</v>
      </c>
    </row>
    <row r="19" spans="1:2" ht="17.75" customHeight="1" x14ac:dyDescent="0.4">
      <c r="A19" s="213"/>
      <c r="B19" s="214" t="s">
        <v>214</v>
      </c>
    </row>
    <row r="20" spans="1:2" x14ac:dyDescent="0.4">
      <c r="A20" s="209" t="s">
        <v>228</v>
      </c>
      <c r="B20" s="218" t="s">
        <v>231</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5"/>
  <sheetViews>
    <sheetView showGridLines="0" zoomScale="130" zoomScaleNormal="130" zoomScalePageLayoutView="110" workbookViewId="0">
      <selection activeCell="A8" sqref="A8"/>
    </sheetView>
  </sheetViews>
  <sheetFormatPr defaultColWidth="9.08984375" defaultRowHeight="13" x14ac:dyDescent="0.3"/>
  <cols>
    <col min="1" max="1" width="38.08984375" style="53" customWidth="1"/>
    <col min="2" max="2" width="11.08984375" style="53" customWidth="1"/>
    <col min="3" max="3" width="10.7265625" style="53" customWidth="1"/>
    <col min="4" max="4" width="11.6328125" style="53" customWidth="1"/>
    <col min="5" max="5" width="11.26953125" style="53" bestFit="1" customWidth="1"/>
    <col min="6" max="6" width="10.7265625" style="53" customWidth="1"/>
    <col min="7" max="7" width="1.36328125" style="53" customWidth="1"/>
    <col min="8" max="16384" width="9.08984375" style="53"/>
  </cols>
  <sheetData>
    <row r="1" spans="1:7" ht="15.5" x14ac:dyDescent="0.35">
      <c r="A1" s="192" t="s">
        <v>203</v>
      </c>
    </row>
    <row r="2" spans="1:7" ht="15.5" x14ac:dyDescent="0.35">
      <c r="A2" s="192" t="s">
        <v>202</v>
      </c>
    </row>
    <row r="4" spans="1:7" ht="15.5" x14ac:dyDescent="0.35">
      <c r="A4" s="188" t="s">
        <v>23</v>
      </c>
      <c r="B4" s="52"/>
      <c r="C4" s="52"/>
      <c r="D4" s="52"/>
      <c r="E4" s="52"/>
      <c r="F4" s="52"/>
      <c r="G4" s="52"/>
    </row>
    <row r="5" spans="1:7" ht="15.5" x14ac:dyDescent="0.35">
      <c r="A5" s="188" t="s">
        <v>19</v>
      </c>
      <c r="B5" s="52"/>
      <c r="C5" s="52"/>
      <c r="D5" s="52"/>
      <c r="E5" s="52"/>
      <c r="F5" s="52"/>
      <c r="G5" s="52"/>
    </row>
    <row r="6" spans="1:7" ht="15.5" x14ac:dyDescent="0.35">
      <c r="A6" s="188" t="s">
        <v>50</v>
      </c>
      <c r="B6" s="52"/>
      <c r="C6" s="52"/>
      <c r="D6" s="52"/>
      <c r="E6" s="52"/>
      <c r="F6" s="52"/>
      <c r="G6" s="52"/>
    </row>
    <row r="7" spans="1:7" ht="12.75" customHeight="1" x14ac:dyDescent="0.3">
      <c r="A7" s="189" t="s">
        <v>244</v>
      </c>
      <c r="B7" s="222" t="s">
        <v>197</v>
      </c>
      <c r="C7" s="222"/>
      <c r="D7" s="222"/>
      <c r="E7" s="222"/>
      <c r="F7" s="222"/>
      <c r="G7" s="55"/>
    </row>
    <row r="8" spans="1:7" ht="30.75" customHeight="1" x14ac:dyDescent="0.3">
      <c r="A8" s="190" t="s">
        <v>2</v>
      </c>
      <c r="B8" s="55" t="s">
        <v>3</v>
      </c>
      <c r="C8" s="56" t="s">
        <v>4</v>
      </c>
      <c r="D8" s="56" t="s">
        <v>5</v>
      </c>
      <c r="E8" s="56" t="s">
        <v>6</v>
      </c>
      <c r="F8" s="55" t="s">
        <v>7</v>
      </c>
    </row>
    <row r="9" spans="1:7" x14ac:dyDescent="0.3">
      <c r="A9" s="191" t="s">
        <v>0</v>
      </c>
      <c r="B9" s="57">
        <v>0.2</v>
      </c>
      <c r="C9" s="58">
        <v>72000</v>
      </c>
      <c r="D9" s="59">
        <f>B9*C9</f>
        <v>14400</v>
      </c>
      <c r="E9" s="59">
        <f>D9*0.28</f>
        <v>4032.0000000000005</v>
      </c>
      <c r="F9" s="59">
        <f>D9+E9</f>
        <v>18432</v>
      </c>
    </row>
    <row r="10" spans="1:7" ht="13.5" thickBot="1" x14ac:dyDescent="0.35">
      <c r="A10" s="191" t="s">
        <v>1</v>
      </c>
      <c r="B10" s="57">
        <v>0.02</v>
      </c>
      <c r="C10" s="58">
        <v>50000</v>
      </c>
      <c r="D10" s="59">
        <f>B10*C10</f>
        <v>1000</v>
      </c>
      <c r="E10" s="59">
        <f>D10*0.31</f>
        <v>310</v>
      </c>
      <c r="F10" s="59">
        <f>D10+E10</f>
        <v>1310</v>
      </c>
    </row>
    <row r="11" spans="1:7" ht="13.5" thickBot="1" x14ac:dyDescent="0.35">
      <c r="A11" s="190" t="s">
        <v>8</v>
      </c>
      <c r="B11" s="60">
        <f>SUM(B9:B10)</f>
        <v>0.22</v>
      </c>
      <c r="D11" s="61">
        <f>SUM(D9:D10)</f>
        <v>15400</v>
      </c>
      <c r="E11" s="62">
        <f>SUM(E9:E10)</f>
        <v>4342</v>
      </c>
      <c r="F11" s="63">
        <f>SUM(F9:F10)</f>
        <v>19742</v>
      </c>
    </row>
    <row r="12" spans="1:7" x14ac:dyDescent="0.3">
      <c r="A12" s="191"/>
      <c r="E12" s="64"/>
      <c r="F12" s="64"/>
    </row>
    <row r="13" spans="1:7" x14ac:dyDescent="0.3">
      <c r="A13" s="190" t="s">
        <v>9</v>
      </c>
      <c r="D13" s="65"/>
      <c r="E13" s="65"/>
      <c r="F13" s="64"/>
    </row>
    <row r="14" spans="1:7" x14ac:dyDescent="0.3">
      <c r="A14" s="191" t="s">
        <v>194</v>
      </c>
      <c r="D14" s="65"/>
      <c r="E14" s="65"/>
      <c r="F14" s="58">
        <f>B11*44*12</f>
        <v>116.16</v>
      </c>
    </row>
    <row r="15" spans="1:7" x14ac:dyDescent="0.3">
      <c r="A15" s="191" t="s">
        <v>10</v>
      </c>
      <c r="D15" s="64"/>
      <c r="E15" s="64"/>
      <c r="F15" s="58">
        <v>4207</v>
      </c>
    </row>
    <row r="16" spans="1:7" x14ac:dyDescent="0.3">
      <c r="A16" s="191" t="s">
        <v>11</v>
      </c>
      <c r="D16" s="64"/>
      <c r="E16" s="64"/>
      <c r="F16" s="58">
        <v>36000</v>
      </c>
      <c r="G16" s="66"/>
    </row>
    <row r="17" spans="1:6" x14ac:dyDescent="0.3">
      <c r="A17" s="191" t="s">
        <v>195</v>
      </c>
      <c r="D17" s="64"/>
      <c r="E17" s="64"/>
      <c r="F17" s="174">
        <f>D11*0.0084</f>
        <v>129.35999999999999</v>
      </c>
    </row>
    <row r="18" spans="1:6" x14ac:dyDescent="0.3">
      <c r="A18" s="190" t="s">
        <v>12</v>
      </c>
      <c r="D18" s="64"/>
      <c r="E18" s="64"/>
      <c r="F18" s="67">
        <f>SUM(F15:F17)</f>
        <v>40336.36</v>
      </c>
    </row>
    <row r="19" spans="1:6" x14ac:dyDescent="0.3">
      <c r="A19" s="190" t="s">
        <v>198</v>
      </c>
      <c r="D19" s="64"/>
      <c r="E19" s="64"/>
      <c r="F19" s="67">
        <f>F11+F18</f>
        <v>60078.36</v>
      </c>
    </row>
    <row r="20" spans="1:6" x14ac:dyDescent="0.3">
      <c r="A20" s="190"/>
      <c r="D20" s="64"/>
      <c r="E20" s="64"/>
      <c r="F20" s="67"/>
    </row>
    <row r="21" spans="1:6" x14ac:dyDescent="0.3">
      <c r="A21" s="190" t="s">
        <v>13</v>
      </c>
      <c r="D21" s="64"/>
      <c r="E21" s="64"/>
      <c r="F21" s="58">
        <f>F19/6/3</f>
        <v>3337.6866666666665</v>
      </c>
    </row>
    <row r="22" spans="1:6" x14ac:dyDescent="0.3">
      <c r="A22" s="190" t="s">
        <v>22</v>
      </c>
      <c r="D22" s="64"/>
      <c r="E22" s="64"/>
      <c r="F22" s="58">
        <v>1428</v>
      </c>
    </row>
    <row r="23" spans="1:6" x14ac:dyDescent="0.3">
      <c r="A23" s="191"/>
      <c r="D23" s="64"/>
      <c r="E23" s="68" t="s">
        <v>199</v>
      </c>
      <c r="F23" s="67">
        <f>F19+F21+F22</f>
        <v>64844.046666666669</v>
      </c>
    </row>
    <row r="24" spans="1:6" x14ac:dyDescent="0.3">
      <c r="A24" s="191"/>
      <c r="D24" s="64"/>
      <c r="E24" s="68"/>
      <c r="F24" s="67"/>
    </row>
    <row r="25" spans="1:6" x14ac:dyDescent="0.3">
      <c r="A25" s="191"/>
      <c r="D25" s="64"/>
      <c r="E25" s="68" t="s">
        <v>14</v>
      </c>
      <c r="F25" s="69">
        <v>1000</v>
      </c>
    </row>
    <row r="26" spans="1:6" x14ac:dyDescent="0.3">
      <c r="A26" s="191"/>
    </row>
    <row r="27" spans="1:6" x14ac:dyDescent="0.3">
      <c r="A27" s="190" t="s">
        <v>15</v>
      </c>
      <c r="B27" s="54" t="s">
        <v>16</v>
      </c>
      <c r="C27" s="54"/>
    </row>
    <row r="28" spans="1:6" x14ac:dyDescent="0.3">
      <c r="B28" s="54"/>
      <c r="C28" s="70" t="s">
        <v>17</v>
      </c>
      <c r="D28" s="71">
        <f>F23/F25</f>
        <v>64.844046666666671</v>
      </c>
    </row>
    <row r="30" spans="1:6" ht="26" x14ac:dyDescent="0.3">
      <c r="B30" s="72" t="s">
        <v>25</v>
      </c>
      <c r="C30" s="72" t="s">
        <v>18</v>
      </c>
      <c r="D30" s="72" t="s">
        <v>26</v>
      </c>
    </row>
    <row r="31" spans="1:6" x14ac:dyDescent="0.3">
      <c r="A31" s="54"/>
      <c r="B31" s="73">
        <f>F23/F25</f>
        <v>64.844046666666671</v>
      </c>
      <c r="C31" s="74">
        <v>1000</v>
      </c>
      <c r="D31" s="75">
        <f>B31*C31</f>
        <v>64844.046666666669</v>
      </c>
    </row>
    <row r="32" spans="1:6" ht="5.25" customHeight="1" x14ac:dyDescent="0.3">
      <c r="A32" s="54"/>
      <c r="B32" s="76"/>
      <c r="C32" s="76"/>
      <c r="D32" s="76"/>
    </row>
    <row r="33" spans="1:4" x14ac:dyDescent="0.3">
      <c r="A33" s="54"/>
      <c r="B33" s="54"/>
      <c r="C33" s="54"/>
      <c r="D33" s="77"/>
    </row>
    <row r="34" spans="1:4" ht="4.5" customHeight="1" x14ac:dyDescent="0.3"/>
    <row r="35" spans="1:4" x14ac:dyDescent="0.3">
      <c r="A35" s="54"/>
      <c r="B35" s="78"/>
      <c r="C35" s="78"/>
      <c r="D35" s="78"/>
    </row>
  </sheetData>
  <mergeCells count="1">
    <mergeCell ref="B7:F7"/>
  </mergeCells>
  <phoneticPr fontId="3" type="noConversion"/>
  <pageMargins left="0.75" right="0.75" top="1" bottom="1" header="0.5" footer="0.5"/>
  <pageSetup orientation="landscape" r:id="rId1"/>
  <headerFooter alignWithMargins="0">
    <oddHeader>&amp;C&amp;22Last Approved Recharge Rate Calculation</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36"/>
  <sheetViews>
    <sheetView showGridLines="0" zoomScale="130" zoomScaleNormal="130" zoomScalePageLayoutView="90" workbookViewId="0">
      <selection activeCell="P10" sqref="P10"/>
    </sheetView>
  </sheetViews>
  <sheetFormatPr defaultRowHeight="12.5" x14ac:dyDescent="0.25"/>
  <cols>
    <col min="1" max="1" width="0.26953125" customWidth="1"/>
    <col min="2" max="2" width="35" customWidth="1"/>
    <col min="3" max="3" width="9.36328125" customWidth="1"/>
    <col min="4" max="4" width="8" bestFit="1" customWidth="1"/>
    <col min="5" max="6" width="8.7265625" bestFit="1" customWidth="1"/>
    <col min="7" max="7" width="8.36328125" bestFit="1" customWidth="1"/>
    <col min="8" max="8" width="8.6328125" bestFit="1" customWidth="1"/>
    <col min="9" max="9" width="8.7265625" bestFit="1" customWidth="1"/>
    <col min="10" max="10" width="8.6328125" bestFit="1" customWidth="1"/>
    <col min="11" max="11" width="8.36328125" bestFit="1" customWidth="1"/>
    <col min="12" max="12" width="8.7265625" bestFit="1" customWidth="1"/>
    <col min="13" max="13" width="8.36328125" bestFit="1" customWidth="1"/>
    <col min="14" max="14" width="8.81640625" bestFit="1" customWidth="1"/>
    <col min="15" max="15" width="8.6328125" bestFit="1" customWidth="1"/>
    <col min="16" max="16" width="11.81640625" customWidth="1"/>
  </cols>
  <sheetData>
    <row r="1" spans="2:16" ht="15.5" x14ac:dyDescent="0.35">
      <c r="B1" s="88" t="s">
        <v>204</v>
      </c>
    </row>
    <row r="2" spans="2:16" ht="15.5" x14ac:dyDescent="0.35">
      <c r="B2" s="88"/>
    </row>
    <row r="3" spans="2:16" ht="20" x14ac:dyDescent="0.4">
      <c r="B3" s="223" t="s">
        <v>200</v>
      </c>
      <c r="C3" s="223"/>
      <c r="D3" s="223"/>
      <c r="E3" s="223"/>
      <c r="F3" s="223"/>
      <c r="G3" s="223"/>
      <c r="H3" s="223"/>
      <c r="I3" s="223"/>
      <c r="J3" s="223"/>
      <c r="K3" s="223"/>
      <c r="L3" s="223"/>
      <c r="M3" s="223"/>
      <c r="N3" s="223"/>
      <c r="O3" s="223"/>
      <c r="P3" s="223"/>
    </row>
    <row r="4" spans="2:16" ht="16.5" customHeight="1" x14ac:dyDescent="0.25">
      <c r="B4" s="226"/>
      <c r="C4" s="226"/>
      <c r="D4" s="226"/>
      <c r="E4" s="226"/>
      <c r="F4" s="226"/>
      <c r="G4" s="227" t="s">
        <v>27</v>
      </c>
      <c r="H4" s="226"/>
      <c r="I4" s="226"/>
      <c r="J4" s="226"/>
      <c r="K4" s="226"/>
      <c r="L4" s="226"/>
      <c r="M4" s="226"/>
      <c r="N4" s="226"/>
      <c r="O4" s="226"/>
      <c r="P4" s="226"/>
    </row>
    <row r="5" spans="2:16" ht="14.25" customHeight="1" x14ac:dyDescent="0.25">
      <c r="B5" s="226"/>
      <c r="C5" s="226"/>
      <c r="D5" s="226"/>
      <c r="E5" s="226"/>
      <c r="F5" s="226"/>
      <c r="G5" s="226"/>
      <c r="H5" s="226"/>
      <c r="I5" s="226"/>
      <c r="J5" s="226"/>
      <c r="K5" s="226"/>
      <c r="L5" s="226"/>
      <c r="M5" s="226"/>
      <c r="N5" s="226"/>
      <c r="O5" s="226"/>
      <c r="P5" s="226"/>
    </row>
    <row r="6" spans="2:16" ht="12.75" customHeight="1" thickBot="1" x14ac:dyDescent="0.3"/>
    <row r="7" spans="2:16" ht="12.75" customHeight="1" x14ac:dyDescent="0.25">
      <c r="B7" s="228"/>
      <c r="C7" s="229"/>
      <c r="D7" s="234" t="s">
        <v>237</v>
      </c>
      <c r="E7" s="235"/>
      <c r="F7" s="235"/>
      <c r="G7" s="235"/>
      <c r="H7" s="235"/>
      <c r="I7" s="235"/>
      <c r="J7" s="235"/>
      <c r="K7" s="235"/>
      <c r="L7" s="235"/>
      <c r="M7" s="235"/>
      <c r="N7" s="235"/>
      <c r="O7" s="236"/>
      <c r="P7" s="237" t="s">
        <v>238</v>
      </c>
    </row>
    <row r="8" spans="2:16" x14ac:dyDescent="0.25">
      <c r="B8" s="230"/>
      <c r="C8" s="231"/>
      <c r="D8" s="240" t="s">
        <v>28</v>
      </c>
      <c r="E8" s="241"/>
      <c r="F8" s="241"/>
      <c r="G8" s="241"/>
      <c r="H8" s="241"/>
      <c r="I8" s="241"/>
      <c r="J8" s="241"/>
      <c r="K8" s="241"/>
      <c r="L8" s="241"/>
      <c r="M8" s="241"/>
      <c r="N8" s="241"/>
      <c r="O8" s="233"/>
      <c r="P8" s="238"/>
    </row>
    <row r="9" spans="2:16" x14ac:dyDescent="0.25">
      <c r="B9" s="232"/>
      <c r="C9" s="233"/>
      <c r="D9" s="81">
        <v>45108</v>
      </c>
      <c r="E9" s="81">
        <v>45139</v>
      </c>
      <c r="F9" s="81">
        <v>45170</v>
      </c>
      <c r="G9" s="81">
        <v>45200</v>
      </c>
      <c r="H9" s="81">
        <v>45231</v>
      </c>
      <c r="I9" s="81">
        <v>45261</v>
      </c>
      <c r="J9" s="81">
        <v>45292</v>
      </c>
      <c r="K9" s="81">
        <v>45323</v>
      </c>
      <c r="L9" s="81">
        <v>45352</v>
      </c>
      <c r="M9" s="81">
        <v>45383</v>
      </c>
      <c r="N9" s="81">
        <v>45413</v>
      </c>
      <c r="O9" s="81">
        <v>45444</v>
      </c>
      <c r="P9" s="239"/>
    </row>
    <row r="10" spans="2:16" x14ac:dyDescent="0.25">
      <c r="B10" s="242" t="s">
        <v>29</v>
      </c>
      <c r="C10" s="243"/>
      <c r="D10" s="48"/>
      <c r="E10" s="48"/>
      <c r="F10" s="48"/>
      <c r="G10" s="48"/>
      <c r="H10" s="48"/>
      <c r="I10" s="48"/>
      <c r="J10" s="48"/>
      <c r="K10" s="48"/>
      <c r="L10" s="48"/>
      <c r="M10" s="48"/>
      <c r="N10" s="48"/>
      <c r="O10" s="48"/>
      <c r="P10" s="9"/>
    </row>
    <row r="11" spans="2:16" ht="13" thickBot="1" x14ac:dyDescent="0.3">
      <c r="B11" s="10" t="s">
        <v>30</v>
      </c>
      <c r="C11" s="11"/>
      <c r="D11" s="12" t="s">
        <v>31</v>
      </c>
      <c r="E11" s="13">
        <v>2288</v>
      </c>
      <c r="F11" s="13">
        <v>5934.5</v>
      </c>
      <c r="G11" s="97">
        <f>1305+358</f>
        <v>1663</v>
      </c>
      <c r="H11" s="13">
        <v>0</v>
      </c>
      <c r="I11" s="14">
        <v>0</v>
      </c>
      <c r="J11" s="12" t="s">
        <v>31</v>
      </c>
      <c r="K11" s="12" t="s">
        <v>31</v>
      </c>
      <c r="L11" s="12" t="s">
        <v>31</v>
      </c>
      <c r="M11" s="12" t="s">
        <v>31</v>
      </c>
      <c r="N11" s="12" t="s">
        <v>31</v>
      </c>
      <c r="O11" s="12" t="s">
        <v>31</v>
      </c>
      <c r="P11" s="15">
        <f>SUM(D11:O11)</f>
        <v>9885.5</v>
      </c>
    </row>
    <row r="12" spans="2:16" ht="13" thickBot="1" x14ac:dyDescent="0.3">
      <c r="B12" s="244" t="s">
        <v>32</v>
      </c>
      <c r="C12" s="245"/>
      <c r="D12" s="44">
        <f>SUM(D11)</f>
        <v>0</v>
      </c>
      <c r="E12" s="44">
        <f t="shared" ref="E12:O12" si="0">SUM(E11)</f>
        <v>2288</v>
      </c>
      <c r="F12" s="44">
        <f t="shared" si="0"/>
        <v>5934.5</v>
      </c>
      <c r="G12" s="44">
        <f t="shared" si="0"/>
        <v>1663</v>
      </c>
      <c r="H12" s="44">
        <f t="shared" si="0"/>
        <v>0</v>
      </c>
      <c r="I12" s="44">
        <f t="shared" si="0"/>
        <v>0</v>
      </c>
      <c r="J12" s="44">
        <f t="shared" si="0"/>
        <v>0</v>
      </c>
      <c r="K12" s="44">
        <f t="shared" si="0"/>
        <v>0</v>
      </c>
      <c r="L12" s="44">
        <f t="shared" si="0"/>
        <v>0</v>
      </c>
      <c r="M12" s="44">
        <f t="shared" si="0"/>
        <v>0</v>
      </c>
      <c r="N12" s="44">
        <f t="shared" si="0"/>
        <v>0</v>
      </c>
      <c r="O12" s="44">
        <f t="shared" si="0"/>
        <v>0</v>
      </c>
      <c r="P12" s="17">
        <f>SUM(D12:O12)</f>
        <v>9885.5</v>
      </c>
    </row>
    <row r="13" spans="2:16" x14ac:dyDescent="0.25">
      <c r="B13" s="242" t="s">
        <v>33</v>
      </c>
      <c r="C13" s="243"/>
      <c r="D13" s="48"/>
      <c r="E13" s="48"/>
      <c r="F13" s="48"/>
      <c r="G13" s="48"/>
      <c r="H13" s="48"/>
      <c r="I13" s="48"/>
      <c r="J13" s="48"/>
      <c r="K13" s="48"/>
      <c r="L13" s="48"/>
      <c r="M13" s="48"/>
      <c r="N13" s="48"/>
      <c r="O13" s="48"/>
      <c r="P13" s="9"/>
    </row>
    <row r="14" spans="2:16" x14ac:dyDescent="0.25">
      <c r="B14" s="10" t="s">
        <v>34</v>
      </c>
      <c r="C14" s="11"/>
      <c r="D14" s="45">
        <v>1208.92</v>
      </c>
      <c r="E14" s="45">
        <v>1208.92</v>
      </c>
      <c r="F14" s="13">
        <v>1245.19</v>
      </c>
      <c r="G14" s="13">
        <v>1245.19</v>
      </c>
      <c r="H14" s="13">
        <v>1245.19</v>
      </c>
      <c r="I14" s="46">
        <v>1245.19</v>
      </c>
      <c r="J14" s="12" t="s">
        <v>31</v>
      </c>
      <c r="K14" s="12" t="s">
        <v>31</v>
      </c>
      <c r="L14" s="12" t="s">
        <v>31</v>
      </c>
      <c r="M14" s="12" t="s">
        <v>31</v>
      </c>
      <c r="N14" s="12" t="s">
        <v>31</v>
      </c>
      <c r="O14" s="12" t="s">
        <v>31</v>
      </c>
      <c r="P14" s="15">
        <f t="shared" ref="P14:P21" si="1">SUM(D14:O14)</f>
        <v>7398.6</v>
      </c>
    </row>
    <row r="15" spans="2:16" x14ac:dyDescent="0.25">
      <c r="B15" s="10" t="s">
        <v>35</v>
      </c>
      <c r="C15" s="11"/>
      <c r="D15" s="12">
        <v>386.85</v>
      </c>
      <c r="E15" s="12">
        <f>D15</f>
        <v>386.85</v>
      </c>
      <c r="F15" s="13">
        <v>398.46</v>
      </c>
      <c r="G15" s="13">
        <f>F15</f>
        <v>398.46</v>
      </c>
      <c r="H15" s="13">
        <f>G15</f>
        <v>398.46</v>
      </c>
      <c r="I15" s="46">
        <f>H15</f>
        <v>398.46</v>
      </c>
      <c r="J15" s="12" t="s">
        <v>31</v>
      </c>
      <c r="K15" s="12" t="s">
        <v>31</v>
      </c>
      <c r="L15" s="12" t="s">
        <v>31</v>
      </c>
      <c r="M15" s="12" t="s">
        <v>31</v>
      </c>
      <c r="N15" s="12" t="s">
        <v>31</v>
      </c>
      <c r="O15" s="12" t="s">
        <v>31</v>
      </c>
      <c r="P15" s="15">
        <f t="shared" si="1"/>
        <v>2367.54</v>
      </c>
    </row>
    <row r="16" spans="2:16" x14ac:dyDescent="0.25">
      <c r="B16" s="10" t="s">
        <v>36</v>
      </c>
      <c r="C16" s="11"/>
      <c r="D16" s="13">
        <v>92.08</v>
      </c>
      <c r="E16" s="13">
        <v>92.08</v>
      </c>
      <c r="F16" s="13">
        <v>96.68</v>
      </c>
      <c r="G16" s="13">
        <v>96.68</v>
      </c>
      <c r="H16" s="13">
        <v>96.68</v>
      </c>
      <c r="I16" s="46">
        <v>96.68</v>
      </c>
      <c r="J16" s="12" t="s">
        <v>31</v>
      </c>
      <c r="K16" s="12" t="s">
        <v>31</v>
      </c>
      <c r="L16" s="12" t="s">
        <v>31</v>
      </c>
      <c r="M16" s="12" t="s">
        <v>31</v>
      </c>
      <c r="N16" s="12" t="s">
        <v>31</v>
      </c>
      <c r="O16" s="12" t="s">
        <v>31</v>
      </c>
      <c r="P16" s="15">
        <f t="shared" si="1"/>
        <v>570.88000000000011</v>
      </c>
    </row>
    <row r="17" spans="2:16" x14ac:dyDescent="0.25">
      <c r="B17" s="10" t="s">
        <v>37</v>
      </c>
      <c r="C17" s="11"/>
      <c r="D17" s="13">
        <v>42.2</v>
      </c>
      <c r="E17" s="13">
        <v>42.2</v>
      </c>
      <c r="F17" s="13">
        <v>46.41</v>
      </c>
      <c r="G17" s="13">
        <v>46.41</v>
      </c>
      <c r="H17" s="13">
        <v>46.41</v>
      </c>
      <c r="I17" s="46">
        <v>46.41</v>
      </c>
      <c r="J17" s="12" t="s">
        <v>31</v>
      </c>
      <c r="K17" s="12" t="s">
        <v>31</v>
      </c>
      <c r="L17" s="12" t="s">
        <v>31</v>
      </c>
      <c r="M17" s="12" t="s">
        <v>31</v>
      </c>
      <c r="N17" s="12" t="s">
        <v>31</v>
      </c>
      <c r="O17" s="12" t="s">
        <v>31</v>
      </c>
      <c r="P17" s="15">
        <f t="shared" si="1"/>
        <v>270.03999999999996</v>
      </c>
    </row>
    <row r="18" spans="2:16" x14ac:dyDescent="0.25">
      <c r="B18" s="10" t="s">
        <v>38</v>
      </c>
      <c r="C18" s="11"/>
      <c r="D18" s="13">
        <v>0</v>
      </c>
      <c r="E18" s="13">
        <v>543.70000000000005</v>
      </c>
      <c r="F18" s="13">
        <v>384.64</v>
      </c>
      <c r="G18" s="13">
        <v>212.93</v>
      </c>
      <c r="H18" s="13">
        <v>0</v>
      </c>
      <c r="I18" s="14">
        <v>0</v>
      </c>
      <c r="J18" s="12" t="s">
        <v>31</v>
      </c>
      <c r="K18" s="12" t="s">
        <v>31</v>
      </c>
      <c r="L18" s="12" t="s">
        <v>31</v>
      </c>
      <c r="M18" s="12" t="s">
        <v>31</v>
      </c>
      <c r="N18" s="12" t="s">
        <v>31</v>
      </c>
      <c r="O18" s="12" t="s">
        <v>31</v>
      </c>
      <c r="P18" s="15">
        <f t="shared" si="1"/>
        <v>1141.27</v>
      </c>
    </row>
    <row r="19" spans="2:16" x14ac:dyDescent="0.25">
      <c r="B19" s="10" t="s">
        <v>39</v>
      </c>
      <c r="C19" s="11"/>
      <c r="D19" s="13">
        <v>125.73</v>
      </c>
      <c r="E19" s="13">
        <v>125.73</v>
      </c>
      <c r="F19" s="13">
        <v>127.07</v>
      </c>
      <c r="G19" s="13">
        <v>250.47</v>
      </c>
      <c r="H19" s="13">
        <v>14.17</v>
      </c>
      <c r="I19" s="46">
        <v>14.17</v>
      </c>
      <c r="J19" s="12" t="s">
        <v>31</v>
      </c>
      <c r="K19" s="12" t="s">
        <v>31</v>
      </c>
      <c r="L19" s="12" t="s">
        <v>31</v>
      </c>
      <c r="M19" s="12" t="s">
        <v>31</v>
      </c>
      <c r="N19" s="12" t="s">
        <v>31</v>
      </c>
      <c r="O19" s="12" t="s">
        <v>31</v>
      </c>
      <c r="P19" s="15">
        <f t="shared" si="1"/>
        <v>657.33999999999992</v>
      </c>
    </row>
    <row r="20" spans="2:16" x14ac:dyDescent="0.25">
      <c r="B20" s="10" t="s">
        <v>20</v>
      </c>
      <c r="C20" s="11"/>
      <c r="D20" s="13">
        <v>2.31</v>
      </c>
      <c r="E20" s="13">
        <v>2.31</v>
      </c>
      <c r="F20" s="13">
        <v>3.65</v>
      </c>
      <c r="G20" s="13">
        <v>8.1</v>
      </c>
      <c r="H20" s="13">
        <v>5.15</v>
      </c>
      <c r="I20" s="46">
        <v>5.15</v>
      </c>
      <c r="J20" s="12">
        <v>0</v>
      </c>
      <c r="K20" s="12">
        <v>0</v>
      </c>
      <c r="L20" s="12">
        <v>0</v>
      </c>
      <c r="M20" s="12">
        <v>0</v>
      </c>
      <c r="N20" s="12">
        <v>0</v>
      </c>
      <c r="O20" s="12">
        <v>0</v>
      </c>
      <c r="P20" s="15">
        <f t="shared" si="1"/>
        <v>26.669999999999995</v>
      </c>
    </row>
    <row r="21" spans="2:16" ht="13" thickBot="1" x14ac:dyDescent="0.3">
      <c r="B21" s="10" t="s">
        <v>143</v>
      </c>
      <c r="C21" s="11"/>
      <c r="D21" s="13">
        <v>0</v>
      </c>
      <c r="E21" s="13">
        <v>0</v>
      </c>
      <c r="F21" s="13">
        <v>14600.88</v>
      </c>
      <c r="G21" s="13">
        <v>0</v>
      </c>
      <c r="H21" s="13">
        <v>0</v>
      </c>
      <c r="I21" s="14">
        <v>0</v>
      </c>
      <c r="J21" s="12">
        <v>0</v>
      </c>
      <c r="K21" s="12">
        <v>0</v>
      </c>
      <c r="L21" s="12">
        <v>0</v>
      </c>
      <c r="M21" s="12">
        <v>0</v>
      </c>
      <c r="N21" s="12">
        <v>0</v>
      </c>
      <c r="O21" s="12">
        <v>0</v>
      </c>
      <c r="P21" s="15">
        <f t="shared" si="1"/>
        <v>14600.88</v>
      </c>
    </row>
    <row r="22" spans="2:16" ht="13" thickBot="1" x14ac:dyDescent="0.3">
      <c r="B22" s="246" t="s">
        <v>40</v>
      </c>
      <c r="C22" s="247"/>
      <c r="D22" s="16">
        <f t="shared" ref="D22:I22" si="2">SUM(D14:D21)</f>
        <v>1858.09</v>
      </c>
      <c r="E22" s="16">
        <f t="shared" si="2"/>
        <v>2401.79</v>
      </c>
      <c r="F22" s="16">
        <f t="shared" si="2"/>
        <v>16902.98</v>
      </c>
      <c r="G22" s="16">
        <f t="shared" si="2"/>
        <v>2258.2400000000002</v>
      </c>
      <c r="H22" s="16">
        <f t="shared" si="2"/>
        <v>1806.0600000000004</v>
      </c>
      <c r="I22" s="16">
        <f t="shared" si="2"/>
        <v>1806.0600000000004</v>
      </c>
      <c r="J22" s="16">
        <f t="shared" ref="J22:O22" si="3">SUM(J14:J19)</f>
        <v>0</v>
      </c>
      <c r="K22" s="16">
        <f t="shared" si="3"/>
        <v>0</v>
      </c>
      <c r="L22" s="16">
        <f t="shared" si="3"/>
        <v>0</v>
      </c>
      <c r="M22" s="16">
        <f t="shared" si="3"/>
        <v>0</v>
      </c>
      <c r="N22" s="16">
        <f t="shared" si="3"/>
        <v>0</v>
      </c>
      <c r="O22" s="16">
        <f t="shared" si="3"/>
        <v>0</v>
      </c>
      <c r="P22" s="17">
        <f>SUM(P14:P21)</f>
        <v>27033.22</v>
      </c>
    </row>
    <row r="23" spans="2:16" ht="13" thickBot="1" x14ac:dyDescent="0.3">
      <c r="B23" s="248" t="s">
        <v>41</v>
      </c>
      <c r="C23" s="249"/>
      <c r="D23" s="18">
        <f t="shared" ref="D23:P23" si="4">D12-D22</f>
        <v>-1858.09</v>
      </c>
      <c r="E23" s="18">
        <f t="shared" si="4"/>
        <v>-113.78999999999996</v>
      </c>
      <c r="F23" s="18">
        <f t="shared" si="4"/>
        <v>-10968.48</v>
      </c>
      <c r="G23" s="18">
        <f t="shared" si="4"/>
        <v>-595.24000000000024</v>
      </c>
      <c r="H23" s="18">
        <f t="shared" si="4"/>
        <v>-1806.0600000000004</v>
      </c>
      <c r="I23" s="18">
        <f t="shared" si="4"/>
        <v>-1806.0600000000004</v>
      </c>
      <c r="J23" s="18">
        <f t="shared" si="4"/>
        <v>0</v>
      </c>
      <c r="K23" s="18">
        <f t="shared" si="4"/>
        <v>0</v>
      </c>
      <c r="L23" s="18">
        <f t="shared" si="4"/>
        <v>0</v>
      </c>
      <c r="M23" s="18">
        <f t="shared" si="4"/>
        <v>0</v>
      </c>
      <c r="N23" s="18">
        <f t="shared" si="4"/>
        <v>0</v>
      </c>
      <c r="O23" s="18">
        <f t="shared" si="4"/>
        <v>0</v>
      </c>
      <c r="P23" s="19">
        <f t="shared" si="4"/>
        <v>-17147.72</v>
      </c>
    </row>
    <row r="24" spans="2:16" ht="13" thickTop="1" x14ac:dyDescent="0.25">
      <c r="B24" s="224" t="s">
        <v>42</v>
      </c>
      <c r="C24" s="225"/>
      <c r="D24" s="20"/>
      <c r="E24" s="20"/>
      <c r="F24" s="20"/>
      <c r="G24" s="20"/>
      <c r="H24" s="20"/>
      <c r="I24" s="20"/>
      <c r="J24" s="20"/>
      <c r="K24" s="20"/>
      <c r="L24" s="20"/>
      <c r="M24" s="20"/>
      <c r="N24" s="20"/>
      <c r="O24" s="20"/>
      <c r="P24" s="21"/>
    </row>
    <row r="25" spans="2:16" ht="13" thickBot="1" x14ac:dyDescent="0.3">
      <c r="B25" s="251" t="s">
        <v>43</v>
      </c>
      <c r="C25" s="252"/>
      <c r="D25" s="13">
        <f>D23</f>
        <v>-1858.09</v>
      </c>
      <c r="E25" s="13">
        <f t="shared" ref="E25:O25" si="5">E23</f>
        <v>-113.78999999999996</v>
      </c>
      <c r="F25" s="13">
        <f t="shared" si="5"/>
        <v>-10968.48</v>
      </c>
      <c r="G25" s="13">
        <f t="shared" si="5"/>
        <v>-595.24000000000024</v>
      </c>
      <c r="H25" s="13">
        <f t="shared" si="5"/>
        <v>-1806.0600000000004</v>
      </c>
      <c r="I25" s="13">
        <f t="shared" si="5"/>
        <v>-1806.0600000000004</v>
      </c>
      <c r="J25" s="13">
        <f t="shared" si="5"/>
        <v>0</v>
      </c>
      <c r="K25" s="13">
        <f t="shared" si="5"/>
        <v>0</v>
      </c>
      <c r="L25" s="13">
        <f t="shared" si="5"/>
        <v>0</v>
      </c>
      <c r="M25" s="13">
        <f t="shared" si="5"/>
        <v>0</v>
      </c>
      <c r="N25" s="13">
        <f t="shared" si="5"/>
        <v>0</v>
      </c>
      <c r="O25" s="13">
        <f t="shared" si="5"/>
        <v>0</v>
      </c>
      <c r="P25" s="15">
        <f>P23</f>
        <v>-17147.72</v>
      </c>
    </row>
    <row r="26" spans="2:16" ht="13" thickBot="1" x14ac:dyDescent="0.3">
      <c r="B26" s="253" t="s">
        <v>44</v>
      </c>
      <c r="C26" s="254"/>
      <c r="D26" s="22">
        <f>D25</f>
        <v>-1858.09</v>
      </c>
      <c r="E26" s="22">
        <f t="shared" ref="E26:O26" si="6">E25</f>
        <v>-113.78999999999996</v>
      </c>
      <c r="F26" s="22">
        <f t="shared" si="6"/>
        <v>-10968.48</v>
      </c>
      <c r="G26" s="22">
        <f t="shared" si="6"/>
        <v>-595.24000000000024</v>
      </c>
      <c r="H26" s="22">
        <f t="shared" si="6"/>
        <v>-1806.0600000000004</v>
      </c>
      <c r="I26" s="22">
        <f t="shared" si="6"/>
        <v>-1806.0600000000004</v>
      </c>
      <c r="J26" s="22">
        <f t="shared" si="6"/>
        <v>0</v>
      </c>
      <c r="K26" s="22">
        <f t="shared" si="6"/>
        <v>0</v>
      </c>
      <c r="L26" s="22">
        <f t="shared" si="6"/>
        <v>0</v>
      </c>
      <c r="M26" s="22">
        <f t="shared" si="6"/>
        <v>0</v>
      </c>
      <c r="N26" s="22">
        <f t="shared" si="6"/>
        <v>0</v>
      </c>
      <c r="O26" s="22">
        <f t="shared" si="6"/>
        <v>0</v>
      </c>
      <c r="P26" s="49">
        <f>P25</f>
        <v>-17147.72</v>
      </c>
    </row>
    <row r="27" spans="2:16" x14ac:dyDescent="0.25">
      <c r="B27" s="255" t="s">
        <v>45</v>
      </c>
      <c r="C27" s="243"/>
      <c r="D27" s="48"/>
      <c r="E27" s="48"/>
      <c r="F27" s="48"/>
      <c r="G27" s="48"/>
      <c r="H27" s="48"/>
      <c r="I27" s="48"/>
      <c r="J27" s="48"/>
      <c r="K27" s="48"/>
      <c r="L27" s="48"/>
      <c r="M27" s="48"/>
      <c r="N27" s="48"/>
      <c r="O27" s="48"/>
      <c r="P27" s="9"/>
    </row>
    <row r="28" spans="2:16" x14ac:dyDescent="0.25">
      <c r="B28" s="8"/>
      <c r="C28" s="23" t="s">
        <v>46</v>
      </c>
      <c r="D28" s="13">
        <f>3502.45-0.58</f>
        <v>3501.87</v>
      </c>
      <c r="E28" s="13">
        <f>D29</f>
        <v>1643.78</v>
      </c>
      <c r="F28" s="13">
        <f>E29</f>
        <v>1529.99</v>
      </c>
      <c r="G28" s="13">
        <f>F29</f>
        <v>-9438.49</v>
      </c>
      <c r="H28" s="13">
        <f>G29</f>
        <v>-10033.73</v>
      </c>
      <c r="I28" s="13">
        <f>H29</f>
        <v>-11839.79</v>
      </c>
      <c r="J28" s="12" t="s">
        <v>31</v>
      </c>
      <c r="K28" s="12" t="s">
        <v>31</v>
      </c>
      <c r="L28" s="12" t="s">
        <v>31</v>
      </c>
      <c r="M28" s="12" t="s">
        <v>31</v>
      </c>
      <c r="N28" s="12" t="s">
        <v>31</v>
      </c>
      <c r="O28" s="12" t="s">
        <v>31</v>
      </c>
      <c r="P28" s="15">
        <f>D28</f>
        <v>3501.87</v>
      </c>
    </row>
    <row r="29" spans="2:16" ht="13" thickBot="1" x14ac:dyDescent="0.3">
      <c r="B29" s="256" t="s">
        <v>47</v>
      </c>
      <c r="C29" s="257"/>
      <c r="D29" s="13">
        <f>D26+D28</f>
        <v>1643.78</v>
      </c>
      <c r="E29" s="13">
        <f t="shared" ref="E29:P29" si="7">E26+E28</f>
        <v>1529.99</v>
      </c>
      <c r="F29" s="13">
        <f t="shared" si="7"/>
        <v>-9438.49</v>
      </c>
      <c r="G29" s="13">
        <f t="shared" si="7"/>
        <v>-10033.73</v>
      </c>
      <c r="H29" s="13">
        <f t="shared" si="7"/>
        <v>-11839.79</v>
      </c>
      <c r="I29" s="13">
        <f t="shared" si="7"/>
        <v>-13645.850000000002</v>
      </c>
      <c r="J29" s="13">
        <f t="shared" si="7"/>
        <v>0</v>
      </c>
      <c r="K29" s="13">
        <f t="shared" si="7"/>
        <v>0</v>
      </c>
      <c r="L29" s="13">
        <f t="shared" si="7"/>
        <v>0</v>
      </c>
      <c r="M29" s="13">
        <f t="shared" si="7"/>
        <v>0</v>
      </c>
      <c r="N29" s="13">
        <f t="shared" si="7"/>
        <v>0</v>
      </c>
      <c r="O29" s="13">
        <f t="shared" si="7"/>
        <v>0</v>
      </c>
      <c r="P29" s="15">
        <f t="shared" si="7"/>
        <v>-13645.850000000002</v>
      </c>
    </row>
    <row r="30" spans="2:16" x14ac:dyDescent="0.25">
      <c r="B30" s="258" t="s">
        <v>48</v>
      </c>
      <c r="C30" s="259"/>
      <c r="D30" s="24">
        <f>D28</f>
        <v>3501.87</v>
      </c>
      <c r="E30" s="24">
        <f t="shared" ref="E30:P30" si="8">E28</f>
        <v>1643.78</v>
      </c>
      <c r="F30" s="24">
        <f t="shared" si="8"/>
        <v>1529.99</v>
      </c>
      <c r="G30" s="24">
        <f t="shared" si="8"/>
        <v>-9438.49</v>
      </c>
      <c r="H30" s="24">
        <f t="shared" si="8"/>
        <v>-10033.73</v>
      </c>
      <c r="I30" s="24">
        <f t="shared" si="8"/>
        <v>-11839.79</v>
      </c>
      <c r="J30" s="24" t="str">
        <f t="shared" si="8"/>
        <v>0</v>
      </c>
      <c r="K30" s="24" t="str">
        <f t="shared" si="8"/>
        <v>0</v>
      </c>
      <c r="L30" s="24" t="str">
        <f t="shared" si="8"/>
        <v>0</v>
      </c>
      <c r="M30" s="24" t="str">
        <f t="shared" si="8"/>
        <v>0</v>
      </c>
      <c r="N30" s="24" t="str">
        <f t="shared" si="8"/>
        <v>0</v>
      </c>
      <c r="O30" s="24" t="str">
        <f t="shared" si="8"/>
        <v>0</v>
      </c>
      <c r="P30" s="25">
        <f t="shared" si="8"/>
        <v>3501.87</v>
      </c>
    </row>
    <row r="31" spans="2:16" ht="13" thickBot="1" x14ac:dyDescent="0.3">
      <c r="B31" s="260" t="s">
        <v>49</v>
      </c>
      <c r="C31" s="261"/>
      <c r="D31" s="50">
        <f>D29</f>
        <v>1643.78</v>
      </c>
      <c r="E31" s="50">
        <f t="shared" ref="E31:P31" si="9">E29</f>
        <v>1529.99</v>
      </c>
      <c r="F31" s="50">
        <f t="shared" si="9"/>
        <v>-9438.49</v>
      </c>
      <c r="G31" s="50">
        <f t="shared" si="9"/>
        <v>-10033.73</v>
      </c>
      <c r="H31" s="50">
        <f t="shared" si="9"/>
        <v>-11839.79</v>
      </c>
      <c r="I31" s="50">
        <f t="shared" si="9"/>
        <v>-13645.850000000002</v>
      </c>
      <c r="J31" s="50">
        <f t="shared" si="9"/>
        <v>0</v>
      </c>
      <c r="K31" s="50">
        <f t="shared" si="9"/>
        <v>0</v>
      </c>
      <c r="L31" s="50">
        <f t="shared" si="9"/>
        <v>0</v>
      </c>
      <c r="M31" s="50">
        <f t="shared" si="9"/>
        <v>0</v>
      </c>
      <c r="N31" s="50">
        <f t="shared" si="9"/>
        <v>0</v>
      </c>
      <c r="O31" s="50">
        <f t="shared" si="9"/>
        <v>0</v>
      </c>
      <c r="P31" s="51">
        <f t="shared" si="9"/>
        <v>-13645.850000000002</v>
      </c>
    </row>
    <row r="32" spans="2:16" ht="12.75" customHeight="1" x14ac:dyDescent="0.25"/>
    <row r="33" spans="2:16" ht="12.75" customHeight="1" x14ac:dyDescent="0.25">
      <c r="B33" s="250"/>
      <c r="C33" s="250"/>
      <c r="D33" s="250"/>
      <c r="E33" s="250"/>
      <c r="F33" s="250"/>
      <c r="G33" s="250"/>
      <c r="H33" s="250"/>
      <c r="I33" s="250"/>
      <c r="J33" s="250"/>
      <c r="K33" s="250"/>
      <c r="L33" s="250"/>
      <c r="M33" s="250"/>
      <c r="N33" s="250"/>
      <c r="O33" s="250"/>
      <c r="P33" s="250"/>
    </row>
    <row r="34" spans="2:16" ht="12.75" customHeight="1" x14ac:dyDescent="0.25">
      <c r="P34" s="47"/>
    </row>
    <row r="35" spans="2:16" ht="12.75" customHeight="1" x14ac:dyDescent="0.25"/>
    <row r="36" spans="2:16" ht="12.75" customHeight="1" x14ac:dyDescent="0.25">
      <c r="P36" s="47"/>
    </row>
  </sheetData>
  <mergeCells count="21">
    <mergeCell ref="B33:P33"/>
    <mergeCell ref="B25:C25"/>
    <mergeCell ref="B26:C26"/>
    <mergeCell ref="B27:C27"/>
    <mergeCell ref="B29:C29"/>
    <mergeCell ref="B30:C30"/>
    <mergeCell ref="B31:C31"/>
    <mergeCell ref="B3:P3"/>
    <mergeCell ref="B24:C24"/>
    <mergeCell ref="B4:F5"/>
    <mergeCell ref="G4:K5"/>
    <mergeCell ref="L4:P5"/>
    <mergeCell ref="B7:C9"/>
    <mergeCell ref="D7:O7"/>
    <mergeCell ref="P7:P9"/>
    <mergeCell ref="D8:O8"/>
    <mergeCell ref="B10:C10"/>
    <mergeCell ref="B12:C12"/>
    <mergeCell ref="B13:C13"/>
    <mergeCell ref="B22:C22"/>
    <mergeCell ref="B23:C23"/>
  </mergeCells>
  <phoneticPr fontId="3" type="noConversion"/>
  <pageMargins left="0.75" right="0.75" top="1" bottom="1" header="0.5" footer="0.5"/>
  <pageSetup scale="78"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59"/>
  <sheetViews>
    <sheetView showGridLines="0" zoomScale="110" zoomScaleNormal="110" zoomScaleSheetLayoutView="70" zoomScalePageLayoutView="70" workbookViewId="0">
      <pane ySplit="8" topLeftCell="A155" activePane="bottomLeft" state="frozen"/>
      <selection pane="bottomLeft" activeCell="N192" sqref="N192"/>
    </sheetView>
  </sheetViews>
  <sheetFormatPr defaultRowHeight="12.5" outlineLevelCol="1" x14ac:dyDescent="0.25"/>
  <cols>
    <col min="1" max="1" width="3.6328125" customWidth="1"/>
    <col min="2" max="2" width="19.26953125" customWidth="1"/>
    <col min="3" max="3" width="8.7265625" customWidth="1"/>
    <col min="4" max="4" width="10" bestFit="1" customWidth="1"/>
    <col min="5" max="5" width="7.36328125" bestFit="1" customWidth="1"/>
    <col min="6" max="6" width="29" bestFit="1" customWidth="1"/>
    <col min="7" max="7" width="7.36328125" bestFit="1" customWidth="1"/>
    <col min="8" max="9" width="8.7265625" bestFit="1" customWidth="1"/>
    <col min="10" max="10" width="7.36328125" bestFit="1" customWidth="1"/>
    <col min="11" max="11" width="37.81640625" bestFit="1" customWidth="1"/>
    <col min="12" max="12" width="13.08984375" customWidth="1"/>
    <col min="13" max="13" width="10" bestFit="1" customWidth="1"/>
    <col min="14" max="14" width="12.36328125" bestFit="1" customWidth="1"/>
    <col min="15" max="15" width="13.36328125" style="1" customWidth="1"/>
    <col min="16" max="16" width="12.36328125" style="1" hidden="1" customWidth="1" outlineLevel="1"/>
    <col min="17" max="17" width="12.08984375" customWidth="1" collapsed="1"/>
  </cols>
  <sheetData>
    <row r="1" spans="1:16" ht="17.5" x14ac:dyDescent="0.35">
      <c r="A1" s="196" t="s">
        <v>239</v>
      </c>
    </row>
    <row r="2" spans="1:16" ht="39" customHeight="1" x14ac:dyDescent="0.3">
      <c r="A2" s="197" t="s">
        <v>207</v>
      </c>
      <c r="B2" s="266" t="s">
        <v>210</v>
      </c>
      <c r="C2" s="266"/>
      <c r="D2" s="266"/>
      <c r="E2" s="266"/>
      <c r="F2" s="266"/>
      <c r="G2" s="266"/>
      <c r="H2" s="266"/>
      <c r="I2" s="266"/>
      <c r="J2" s="266"/>
      <c r="K2" s="266"/>
      <c r="L2" s="266"/>
      <c r="M2" s="266"/>
      <c r="N2" s="266"/>
      <c r="O2" s="266"/>
    </row>
    <row r="3" spans="1:16" ht="18.75" customHeight="1" x14ac:dyDescent="0.3">
      <c r="A3" s="195" t="s">
        <v>208</v>
      </c>
      <c r="B3" s="79" t="s">
        <v>209</v>
      </c>
    </row>
    <row r="4" spans="1:16" ht="18.75" customHeight="1" x14ac:dyDescent="0.25"/>
    <row r="5" spans="1:16" ht="18.75" customHeight="1" x14ac:dyDescent="0.25">
      <c r="B5" s="227" t="s">
        <v>54</v>
      </c>
      <c r="C5" s="227"/>
      <c r="D5" s="227"/>
      <c r="E5" s="227"/>
      <c r="F5" s="227"/>
      <c r="G5" s="227"/>
      <c r="H5" s="227"/>
      <c r="I5" s="227"/>
      <c r="J5" s="227"/>
      <c r="K5" s="227"/>
      <c r="L5" s="227"/>
      <c r="M5" s="227"/>
      <c r="N5" s="227"/>
      <c r="O5" s="227"/>
      <c r="P5" s="227"/>
    </row>
    <row r="6" spans="1:16" ht="12" customHeight="1" x14ac:dyDescent="0.25">
      <c r="B6" s="274"/>
      <c r="C6" s="274"/>
      <c r="D6" s="274"/>
      <c r="E6" s="274"/>
      <c r="F6" s="274"/>
      <c r="G6" s="274"/>
      <c r="H6" s="274"/>
      <c r="I6" s="274"/>
      <c r="J6" s="274"/>
      <c r="K6" s="274"/>
      <c r="L6" s="274"/>
      <c r="M6" s="274"/>
      <c r="N6" s="274"/>
      <c r="O6" s="274"/>
      <c r="P6" s="274"/>
    </row>
    <row r="7" spans="1:16" ht="13" thickBot="1" x14ac:dyDescent="0.3">
      <c r="B7" s="270" t="s">
        <v>55</v>
      </c>
      <c r="C7" s="26" t="s">
        <v>56</v>
      </c>
      <c r="D7" s="262" t="s">
        <v>57</v>
      </c>
      <c r="E7" s="262" t="s">
        <v>58</v>
      </c>
      <c r="F7" s="272" t="s">
        <v>59</v>
      </c>
      <c r="G7" s="262" t="s">
        <v>24</v>
      </c>
      <c r="H7" s="262" t="s">
        <v>51</v>
      </c>
      <c r="I7" s="262" t="s">
        <v>60</v>
      </c>
      <c r="J7" s="262" t="s">
        <v>61</v>
      </c>
      <c r="K7" s="262" t="s">
        <v>62</v>
      </c>
      <c r="L7" s="262" t="s">
        <v>63</v>
      </c>
      <c r="M7" s="193" t="s">
        <v>64</v>
      </c>
      <c r="N7" s="264" t="s">
        <v>65</v>
      </c>
      <c r="O7" s="275" t="s">
        <v>150</v>
      </c>
      <c r="P7" s="264" t="s">
        <v>150</v>
      </c>
    </row>
    <row r="8" spans="1:16" ht="13" thickBot="1" x14ac:dyDescent="0.3">
      <c r="B8" s="271"/>
      <c r="C8" s="27" t="s">
        <v>66</v>
      </c>
      <c r="D8" s="263"/>
      <c r="E8" s="263"/>
      <c r="F8" s="273"/>
      <c r="G8" s="263"/>
      <c r="H8" s="263"/>
      <c r="I8" s="263"/>
      <c r="J8" s="263"/>
      <c r="K8" s="263"/>
      <c r="L8" s="263"/>
      <c r="M8" s="194" t="s">
        <v>67</v>
      </c>
      <c r="N8" s="265"/>
      <c r="O8" s="276"/>
      <c r="P8" s="277"/>
    </row>
    <row r="9" spans="1:16" ht="15.75" customHeight="1" x14ac:dyDescent="0.25">
      <c r="B9" s="28" t="s">
        <v>72</v>
      </c>
      <c r="C9" s="29" t="s">
        <v>73</v>
      </c>
      <c r="D9" s="29" t="s">
        <v>69</v>
      </c>
      <c r="E9" s="29" t="s">
        <v>75</v>
      </c>
      <c r="F9" s="30" t="s">
        <v>76</v>
      </c>
      <c r="G9" s="29" t="s">
        <v>74</v>
      </c>
      <c r="H9" s="29">
        <v>123456</v>
      </c>
      <c r="I9" s="29">
        <v>8123456</v>
      </c>
      <c r="J9" s="29" t="s">
        <v>70</v>
      </c>
      <c r="K9" s="30" t="s">
        <v>140</v>
      </c>
      <c r="L9" s="35" t="s">
        <v>141</v>
      </c>
      <c r="M9" s="31">
        <v>44592</v>
      </c>
      <c r="N9" s="32">
        <v>1195.5</v>
      </c>
      <c r="O9" s="89"/>
      <c r="P9" s="89"/>
    </row>
    <row r="10" spans="1:16" ht="15.75" customHeight="1" x14ac:dyDescent="0.25">
      <c r="B10" s="38" t="s">
        <v>72</v>
      </c>
      <c r="C10" s="39" t="s">
        <v>73</v>
      </c>
      <c r="D10" s="39" t="s">
        <v>69</v>
      </c>
      <c r="E10" s="39" t="s">
        <v>75</v>
      </c>
      <c r="F10" s="40" t="s">
        <v>76</v>
      </c>
      <c r="G10" s="39" t="s">
        <v>74</v>
      </c>
      <c r="H10" s="39">
        <v>123456</v>
      </c>
      <c r="I10" s="39">
        <v>8123456</v>
      </c>
      <c r="J10" s="39" t="s">
        <v>70</v>
      </c>
      <c r="K10" s="40" t="s">
        <v>140</v>
      </c>
      <c r="L10" s="41" t="s">
        <v>141</v>
      </c>
      <c r="M10" s="42">
        <v>44620</v>
      </c>
      <c r="N10" s="37">
        <v>1195.5</v>
      </c>
      <c r="O10" s="92"/>
      <c r="P10" s="92"/>
    </row>
    <row r="11" spans="1:16" ht="15.75" customHeight="1" x14ac:dyDescent="0.25">
      <c r="B11" s="28" t="s">
        <v>72</v>
      </c>
      <c r="C11" s="29" t="s">
        <v>73</v>
      </c>
      <c r="D11" s="29" t="s">
        <v>69</v>
      </c>
      <c r="E11" s="29" t="s">
        <v>75</v>
      </c>
      <c r="F11" s="30" t="s">
        <v>76</v>
      </c>
      <c r="G11" s="29" t="s">
        <v>74</v>
      </c>
      <c r="H11" s="29">
        <v>123456</v>
      </c>
      <c r="I11" s="29">
        <v>8123456</v>
      </c>
      <c r="J11" s="29" t="s">
        <v>70</v>
      </c>
      <c r="K11" s="30" t="s">
        <v>140</v>
      </c>
      <c r="L11" s="35" t="s">
        <v>141</v>
      </c>
      <c r="M11" s="31">
        <v>44651</v>
      </c>
      <c r="N11" s="32">
        <v>1195.5</v>
      </c>
      <c r="O11" s="89"/>
      <c r="P11" s="89"/>
    </row>
    <row r="12" spans="1:16" ht="15.75" customHeight="1" x14ac:dyDescent="0.25">
      <c r="B12" s="38" t="s">
        <v>72</v>
      </c>
      <c r="C12" s="39" t="s">
        <v>73</v>
      </c>
      <c r="D12" s="39" t="s">
        <v>69</v>
      </c>
      <c r="E12" s="39" t="s">
        <v>75</v>
      </c>
      <c r="F12" s="40" t="s">
        <v>76</v>
      </c>
      <c r="G12" s="39" t="s">
        <v>74</v>
      </c>
      <c r="H12" s="39">
        <v>123456</v>
      </c>
      <c r="I12" s="39">
        <v>8123456</v>
      </c>
      <c r="J12" s="39" t="s">
        <v>70</v>
      </c>
      <c r="K12" s="40" t="s">
        <v>140</v>
      </c>
      <c r="L12" s="41" t="s">
        <v>141</v>
      </c>
      <c r="M12" s="42">
        <v>44681</v>
      </c>
      <c r="N12" s="37">
        <v>1195.5</v>
      </c>
      <c r="O12" s="92"/>
      <c r="P12" s="92"/>
    </row>
    <row r="13" spans="1:16" ht="15.75" customHeight="1" x14ac:dyDescent="0.25">
      <c r="B13" s="28" t="s">
        <v>72</v>
      </c>
      <c r="C13" s="29" t="s">
        <v>73</v>
      </c>
      <c r="D13" s="29" t="s">
        <v>69</v>
      </c>
      <c r="E13" s="29" t="s">
        <v>75</v>
      </c>
      <c r="F13" s="30" t="s">
        <v>76</v>
      </c>
      <c r="G13" s="29" t="s">
        <v>74</v>
      </c>
      <c r="H13" s="29">
        <v>123456</v>
      </c>
      <c r="I13" s="29">
        <v>8123456</v>
      </c>
      <c r="J13" s="29" t="s">
        <v>70</v>
      </c>
      <c r="K13" s="30" t="s">
        <v>140</v>
      </c>
      <c r="L13" s="35" t="s">
        <v>141</v>
      </c>
      <c r="M13" s="31">
        <v>44712</v>
      </c>
      <c r="N13" s="32">
        <v>1195.5</v>
      </c>
      <c r="O13" s="89"/>
      <c r="P13" s="89"/>
    </row>
    <row r="14" spans="1:16" ht="15.75" customHeight="1" x14ac:dyDescent="0.25">
      <c r="B14" s="38" t="s">
        <v>72</v>
      </c>
      <c r="C14" s="39" t="s">
        <v>73</v>
      </c>
      <c r="D14" s="39" t="s">
        <v>69</v>
      </c>
      <c r="E14" s="39" t="s">
        <v>75</v>
      </c>
      <c r="F14" s="40" t="s">
        <v>76</v>
      </c>
      <c r="G14" s="39" t="s">
        <v>74</v>
      </c>
      <c r="H14" s="39">
        <v>123456</v>
      </c>
      <c r="I14" s="39">
        <v>8123456</v>
      </c>
      <c r="J14" s="39" t="s">
        <v>70</v>
      </c>
      <c r="K14" s="40" t="s">
        <v>140</v>
      </c>
      <c r="L14" s="41" t="s">
        <v>141</v>
      </c>
      <c r="M14" s="42">
        <v>44742</v>
      </c>
      <c r="N14" s="37">
        <v>1195.5</v>
      </c>
      <c r="O14" s="92"/>
      <c r="P14" s="92"/>
    </row>
    <row r="15" spans="1:16" ht="15.75" customHeight="1" x14ac:dyDescent="0.25">
      <c r="B15" s="28" t="s">
        <v>72</v>
      </c>
      <c r="C15" s="29" t="s">
        <v>73</v>
      </c>
      <c r="D15" s="29" t="s">
        <v>69</v>
      </c>
      <c r="E15" s="29" t="s">
        <v>75</v>
      </c>
      <c r="F15" s="30" t="s">
        <v>76</v>
      </c>
      <c r="G15" s="29" t="s">
        <v>74</v>
      </c>
      <c r="H15" s="29">
        <v>123456</v>
      </c>
      <c r="I15" s="29">
        <v>8123456</v>
      </c>
      <c r="J15" s="29" t="s">
        <v>70</v>
      </c>
      <c r="K15" s="30" t="s">
        <v>140</v>
      </c>
      <c r="L15" s="35" t="s">
        <v>141</v>
      </c>
      <c r="M15" s="31">
        <v>44773</v>
      </c>
      <c r="N15" s="32">
        <v>1195.5</v>
      </c>
      <c r="O15" s="89"/>
      <c r="P15" s="89"/>
    </row>
    <row r="16" spans="1:16" ht="15.75" customHeight="1" x14ac:dyDescent="0.25">
      <c r="B16" s="38" t="s">
        <v>72</v>
      </c>
      <c r="C16" s="39" t="s">
        <v>73</v>
      </c>
      <c r="D16" s="39" t="s">
        <v>69</v>
      </c>
      <c r="E16" s="39" t="s">
        <v>75</v>
      </c>
      <c r="F16" s="40" t="s">
        <v>76</v>
      </c>
      <c r="G16" s="39" t="s">
        <v>74</v>
      </c>
      <c r="H16" s="39">
        <v>123456</v>
      </c>
      <c r="I16" s="39">
        <v>8123456</v>
      </c>
      <c r="J16" s="39" t="s">
        <v>70</v>
      </c>
      <c r="K16" s="40" t="s">
        <v>140</v>
      </c>
      <c r="L16" s="41" t="s">
        <v>141</v>
      </c>
      <c r="M16" s="42">
        <v>44803</v>
      </c>
      <c r="N16" s="37">
        <v>1195.5</v>
      </c>
      <c r="O16" s="92"/>
      <c r="P16" s="92"/>
    </row>
    <row r="17" spans="2:16" ht="15.75" customHeight="1" x14ac:dyDescent="0.25">
      <c r="B17" s="28" t="s">
        <v>72</v>
      </c>
      <c r="C17" s="29" t="s">
        <v>73</v>
      </c>
      <c r="D17" s="29" t="s">
        <v>69</v>
      </c>
      <c r="E17" s="29" t="s">
        <v>75</v>
      </c>
      <c r="F17" s="30" t="s">
        <v>76</v>
      </c>
      <c r="G17" s="29" t="s">
        <v>74</v>
      </c>
      <c r="H17" s="29">
        <v>123456</v>
      </c>
      <c r="I17" s="29">
        <v>8123456</v>
      </c>
      <c r="J17" s="29" t="s">
        <v>70</v>
      </c>
      <c r="K17" s="30" t="s">
        <v>140</v>
      </c>
      <c r="L17" s="35" t="s">
        <v>141</v>
      </c>
      <c r="M17" s="31">
        <v>44834</v>
      </c>
      <c r="N17" s="32">
        <v>1208.92</v>
      </c>
      <c r="O17" s="89"/>
      <c r="P17" s="89"/>
    </row>
    <row r="18" spans="2:16" ht="15.75" customHeight="1" x14ac:dyDescent="0.25">
      <c r="B18" s="38" t="s">
        <v>72</v>
      </c>
      <c r="C18" s="39" t="s">
        <v>73</v>
      </c>
      <c r="D18" s="39" t="s">
        <v>69</v>
      </c>
      <c r="E18" s="39" t="s">
        <v>75</v>
      </c>
      <c r="F18" s="40" t="s">
        <v>76</v>
      </c>
      <c r="G18" s="39" t="s">
        <v>74</v>
      </c>
      <c r="H18" s="39">
        <v>123456</v>
      </c>
      <c r="I18" s="39">
        <v>8123456</v>
      </c>
      <c r="J18" s="39" t="s">
        <v>70</v>
      </c>
      <c r="K18" s="40" t="s">
        <v>140</v>
      </c>
      <c r="L18" s="41" t="s">
        <v>141</v>
      </c>
      <c r="M18" s="42">
        <v>44865</v>
      </c>
      <c r="N18" s="37">
        <v>1208.92</v>
      </c>
      <c r="O18" s="92"/>
      <c r="P18" s="92"/>
    </row>
    <row r="19" spans="2:16" ht="15.75" customHeight="1" x14ac:dyDescent="0.25">
      <c r="B19" s="28" t="s">
        <v>72</v>
      </c>
      <c r="C19" s="29" t="s">
        <v>73</v>
      </c>
      <c r="D19" s="29" t="s">
        <v>69</v>
      </c>
      <c r="E19" s="29" t="s">
        <v>75</v>
      </c>
      <c r="F19" s="30" t="s">
        <v>76</v>
      </c>
      <c r="G19" s="29" t="s">
        <v>74</v>
      </c>
      <c r="H19" s="29">
        <v>123456</v>
      </c>
      <c r="I19" s="29">
        <v>8123456</v>
      </c>
      <c r="J19" s="29" t="s">
        <v>70</v>
      </c>
      <c r="K19" s="30" t="s">
        <v>140</v>
      </c>
      <c r="L19" s="35" t="s">
        <v>141</v>
      </c>
      <c r="M19" s="31">
        <v>44895</v>
      </c>
      <c r="N19" s="32">
        <v>1208.92</v>
      </c>
      <c r="O19" s="89"/>
      <c r="P19" s="90" t="s">
        <v>149</v>
      </c>
    </row>
    <row r="20" spans="2:16" ht="15.75" customHeight="1" x14ac:dyDescent="0.25">
      <c r="B20" s="83" t="s">
        <v>72</v>
      </c>
      <c r="C20" s="84" t="s">
        <v>73</v>
      </c>
      <c r="D20" s="84" t="s">
        <v>69</v>
      </c>
      <c r="E20" s="84" t="s">
        <v>75</v>
      </c>
      <c r="F20" s="85" t="s">
        <v>76</v>
      </c>
      <c r="G20" s="84" t="s">
        <v>74</v>
      </c>
      <c r="H20" s="84">
        <v>123456</v>
      </c>
      <c r="I20" s="84">
        <v>8123456</v>
      </c>
      <c r="J20" s="84" t="s">
        <v>70</v>
      </c>
      <c r="K20" s="85" t="s">
        <v>140</v>
      </c>
      <c r="L20" s="86" t="s">
        <v>141</v>
      </c>
      <c r="M20" s="87">
        <v>44926</v>
      </c>
      <c r="N20" s="37">
        <v>1208.92</v>
      </c>
      <c r="O20" s="92"/>
      <c r="P20" s="91" t="s">
        <v>149</v>
      </c>
    </row>
    <row r="21" spans="2:16" ht="15.75" customHeight="1" x14ac:dyDescent="0.25">
      <c r="B21" s="28" t="s">
        <v>72</v>
      </c>
      <c r="C21" s="29" t="s">
        <v>73</v>
      </c>
      <c r="D21" s="29" t="s">
        <v>69</v>
      </c>
      <c r="E21" s="29" t="s">
        <v>75</v>
      </c>
      <c r="F21" s="30" t="s">
        <v>76</v>
      </c>
      <c r="G21" s="29" t="s">
        <v>74</v>
      </c>
      <c r="H21" s="29">
        <v>123456</v>
      </c>
      <c r="I21" s="29">
        <v>8123456</v>
      </c>
      <c r="J21" s="29" t="s">
        <v>70</v>
      </c>
      <c r="K21" s="30" t="s">
        <v>140</v>
      </c>
      <c r="L21" s="35" t="s">
        <v>141</v>
      </c>
      <c r="M21" s="31">
        <v>44957</v>
      </c>
      <c r="N21" s="32">
        <v>1208.92</v>
      </c>
      <c r="O21" s="89"/>
      <c r="P21" s="89"/>
    </row>
    <row r="22" spans="2:16" ht="15.75" customHeight="1" x14ac:dyDescent="0.25">
      <c r="B22" s="38" t="s">
        <v>72</v>
      </c>
      <c r="C22" s="39" t="s">
        <v>73</v>
      </c>
      <c r="D22" s="39" t="s">
        <v>69</v>
      </c>
      <c r="E22" s="39" t="s">
        <v>75</v>
      </c>
      <c r="F22" s="40" t="s">
        <v>76</v>
      </c>
      <c r="G22" s="39" t="s">
        <v>74</v>
      </c>
      <c r="H22" s="39">
        <v>123456</v>
      </c>
      <c r="I22" s="39">
        <v>8123456</v>
      </c>
      <c r="J22" s="39" t="s">
        <v>70</v>
      </c>
      <c r="K22" s="40" t="s">
        <v>140</v>
      </c>
      <c r="L22" s="41" t="s">
        <v>141</v>
      </c>
      <c r="M22" s="42">
        <v>44985</v>
      </c>
      <c r="N22" s="37">
        <v>1208.92</v>
      </c>
      <c r="O22" s="92"/>
      <c r="P22" s="92"/>
    </row>
    <row r="23" spans="2:16" ht="15.75" customHeight="1" x14ac:dyDescent="0.25">
      <c r="B23" s="28" t="s">
        <v>72</v>
      </c>
      <c r="C23" s="29" t="s">
        <v>73</v>
      </c>
      <c r="D23" s="29" t="s">
        <v>69</v>
      </c>
      <c r="E23" s="29" t="s">
        <v>75</v>
      </c>
      <c r="F23" s="30" t="s">
        <v>76</v>
      </c>
      <c r="G23" s="29" t="s">
        <v>74</v>
      </c>
      <c r="H23" s="29">
        <v>123456</v>
      </c>
      <c r="I23" s="29">
        <v>8123456</v>
      </c>
      <c r="J23" s="29" t="s">
        <v>70</v>
      </c>
      <c r="K23" s="30" t="s">
        <v>140</v>
      </c>
      <c r="L23" s="35" t="s">
        <v>141</v>
      </c>
      <c r="M23" s="31">
        <v>45016</v>
      </c>
      <c r="N23" s="32">
        <v>1208.92</v>
      </c>
      <c r="O23" s="89"/>
      <c r="P23" s="89"/>
    </row>
    <row r="24" spans="2:16" ht="15.75" customHeight="1" x14ac:dyDescent="0.25">
      <c r="B24" s="38" t="s">
        <v>72</v>
      </c>
      <c r="C24" s="39" t="s">
        <v>73</v>
      </c>
      <c r="D24" s="39" t="s">
        <v>69</v>
      </c>
      <c r="E24" s="39" t="s">
        <v>75</v>
      </c>
      <c r="F24" s="40" t="s">
        <v>76</v>
      </c>
      <c r="G24" s="39" t="s">
        <v>74</v>
      </c>
      <c r="H24" s="39">
        <v>123456</v>
      </c>
      <c r="I24" s="39">
        <v>8123456</v>
      </c>
      <c r="J24" s="39" t="s">
        <v>70</v>
      </c>
      <c r="K24" s="40" t="s">
        <v>140</v>
      </c>
      <c r="L24" s="41" t="s">
        <v>141</v>
      </c>
      <c r="M24" s="42">
        <v>45046</v>
      </c>
      <c r="N24" s="37">
        <v>1208.92</v>
      </c>
      <c r="O24" s="92"/>
      <c r="P24" s="92"/>
    </row>
    <row r="25" spans="2:16" ht="15.75" customHeight="1" x14ac:dyDescent="0.25">
      <c r="B25" s="28" t="s">
        <v>72</v>
      </c>
      <c r="C25" s="29" t="s">
        <v>73</v>
      </c>
      <c r="D25" s="29" t="s">
        <v>69</v>
      </c>
      <c r="E25" s="29" t="s">
        <v>75</v>
      </c>
      <c r="F25" s="30" t="s">
        <v>76</v>
      </c>
      <c r="G25" s="29" t="s">
        <v>74</v>
      </c>
      <c r="H25" s="29">
        <v>123456</v>
      </c>
      <c r="I25" s="29">
        <v>8123456</v>
      </c>
      <c r="J25" s="29" t="s">
        <v>70</v>
      </c>
      <c r="K25" s="30" t="s">
        <v>140</v>
      </c>
      <c r="L25" s="35" t="s">
        <v>141</v>
      </c>
      <c r="M25" s="31">
        <v>45077</v>
      </c>
      <c r="N25" s="32">
        <v>1208.92</v>
      </c>
      <c r="O25" s="89"/>
      <c r="P25" s="89"/>
    </row>
    <row r="26" spans="2:16" ht="15.75" customHeight="1" x14ac:dyDescent="0.25">
      <c r="B26" s="38" t="s">
        <v>72</v>
      </c>
      <c r="C26" s="39" t="s">
        <v>73</v>
      </c>
      <c r="D26" s="39" t="s">
        <v>69</v>
      </c>
      <c r="E26" s="39" t="s">
        <v>75</v>
      </c>
      <c r="F26" s="40" t="s">
        <v>76</v>
      </c>
      <c r="G26" s="39" t="s">
        <v>74</v>
      </c>
      <c r="H26" s="39">
        <v>123456</v>
      </c>
      <c r="I26" s="39">
        <v>8123456</v>
      </c>
      <c r="J26" s="39" t="s">
        <v>70</v>
      </c>
      <c r="K26" s="40" t="s">
        <v>140</v>
      </c>
      <c r="L26" s="41" t="s">
        <v>141</v>
      </c>
      <c r="M26" s="42">
        <v>45107</v>
      </c>
      <c r="N26" s="37">
        <v>1208.92</v>
      </c>
      <c r="O26" s="92"/>
      <c r="P26" s="92"/>
    </row>
    <row r="27" spans="2:16" ht="15.75" customHeight="1" x14ac:dyDescent="0.25">
      <c r="B27" s="28" t="s">
        <v>72</v>
      </c>
      <c r="C27" s="29" t="s">
        <v>73</v>
      </c>
      <c r="D27" s="29" t="s">
        <v>69</v>
      </c>
      <c r="E27" s="29" t="s">
        <v>75</v>
      </c>
      <c r="F27" s="30" t="s">
        <v>76</v>
      </c>
      <c r="G27" s="29" t="s">
        <v>74</v>
      </c>
      <c r="H27" s="29">
        <v>123456</v>
      </c>
      <c r="I27" s="29">
        <v>8123456</v>
      </c>
      <c r="J27" s="29" t="s">
        <v>70</v>
      </c>
      <c r="K27" s="30" t="s">
        <v>140</v>
      </c>
      <c r="L27" s="35" t="s">
        <v>141</v>
      </c>
      <c r="M27" s="31">
        <v>45138</v>
      </c>
      <c r="N27" s="32">
        <v>1208.92</v>
      </c>
      <c r="O27" s="89"/>
      <c r="P27" s="89"/>
    </row>
    <row r="28" spans="2:16" ht="15.75" customHeight="1" x14ac:dyDescent="0.25">
      <c r="B28" s="38" t="s">
        <v>72</v>
      </c>
      <c r="C28" s="39" t="s">
        <v>73</v>
      </c>
      <c r="D28" s="39" t="s">
        <v>69</v>
      </c>
      <c r="E28" s="39" t="s">
        <v>75</v>
      </c>
      <c r="F28" s="40" t="s">
        <v>76</v>
      </c>
      <c r="G28" s="39" t="s">
        <v>74</v>
      </c>
      <c r="H28" s="39">
        <v>123456</v>
      </c>
      <c r="I28" s="39">
        <v>8123456</v>
      </c>
      <c r="J28" s="39" t="s">
        <v>70</v>
      </c>
      <c r="K28" s="40" t="s">
        <v>140</v>
      </c>
      <c r="L28" s="41" t="s">
        <v>141</v>
      </c>
      <c r="M28" s="42">
        <v>45168</v>
      </c>
      <c r="N28" s="37">
        <v>1208.92</v>
      </c>
      <c r="O28" s="92"/>
      <c r="P28" s="92"/>
    </row>
    <row r="29" spans="2:16" ht="15.75" customHeight="1" x14ac:dyDescent="0.25">
      <c r="B29" s="28" t="s">
        <v>72</v>
      </c>
      <c r="C29" s="29" t="s">
        <v>73</v>
      </c>
      <c r="D29" s="29" t="s">
        <v>69</v>
      </c>
      <c r="E29" s="29" t="s">
        <v>75</v>
      </c>
      <c r="F29" s="30" t="s">
        <v>76</v>
      </c>
      <c r="G29" s="29" t="s">
        <v>74</v>
      </c>
      <c r="H29" s="29">
        <v>123456</v>
      </c>
      <c r="I29" s="29">
        <v>8123456</v>
      </c>
      <c r="J29" s="29" t="s">
        <v>70</v>
      </c>
      <c r="K29" s="30" t="s">
        <v>140</v>
      </c>
      <c r="L29" s="35" t="s">
        <v>141</v>
      </c>
      <c r="M29" s="31">
        <v>45199</v>
      </c>
      <c r="N29" s="32">
        <f>N28*1.03</f>
        <v>1245.1876000000002</v>
      </c>
      <c r="O29" s="89"/>
      <c r="P29" s="89"/>
    </row>
    <row r="30" spans="2:16" ht="15.5" customHeight="1" x14ac:dyDescent="0.25">
      <c r="B30" s="38" t="s">
        <v>72</v>
      </c>
      <c r="C30" s="39" t="s">
        <v>73</v>
      </c>
      <c r="D30" s="39" t="s">
        <v>69</v>
      </c>
      <c r="E30" s="39" t="s">
        <v>75</v>
      </c>
      <c r="F30" s="40" t="s">
        <v>76</v>
      </c>
      <c r="G30" s="39" t="s">
        <v>74</v>
      </c>
      <c r="H30" s="39">
        <v>123456</v>
      </c>
      <c r="I30" s="39">
        <v>8123456</v>
      </c>
      <c r="J30" s="39" t="s">
        <v>70</v>
      </c>
      <c r="K30" s="40" t="s">
        <v>140</v>
      </c>
      <c r="L30" s="41" t="s">
        <v>141</v>
      </c>
      <c r="M30" s="42">
        <v>45230</v>
      </c>
      <c r="N30" s="37">
        <f>N29</f>
        <v>1245.1876000000002</v>
      </c>
      <c r="O30" s="92"/>
      <c r="P30" s="92"/>
    </row>
    <row r="31" spans="2:16" ht="15.75" customHeight="1" x14ac:dyDescent="0.25">
      <c r="B31" s="28" t="s">
        <v>72</v>
      </c>
      <c r="C31" s="29" t="s">
        <v>73</v>
      </c>
      <c r="D31" s="29" t="s">
        <v>69</v>
      </c>
      <c r="E31" s="29" t="s">
        <v>75</v>
      </c>
      <c r="F31" s="30" t="s">
        <v>76</v>
      </c>
      <c r="G31" s="29" t="s">
        <v>74</v>
      </c>
      <c r="H31" s="29">
        <v>123456</v>
      </c>
      <c r="I31" s="29">
        <v>8123456</v>
      </c>
      <c r="J31" s="29" t="s">
        <v>70</v>
      </c>
      <c r="K31" s="30" t="s">
        <v>140</v>
      </c>
      <c r="L31" s="35" t="s">
        <v>141</v>
      </c>
      <c r="M31" s="31">
        <v>45260</v>
      </c>
      <c r="N31" s="32">
        <f>N30</f>
        <v>1245.1876000000002</v>
      </c>
      <c r="O31" s="89"/>
      <c r="P31" s="90" t="s">
        <v>149</v>
      </c>
    </row>
    <row r="32" spans="2:16" ht="15.75" customHeight="1" x14ac:dyDescent="0.25">
      <c r="B32" s="83" t="s">
        <v>72</v>
      </c>
      <c r="C32" s="84" t="s">
        <v>73</v>
      </c>
      <c r="D32" s="84" t="s">
        <v>69</v>
      </c>
      <c r="E32" s="84" t="s">
        <v>75</v>
      </c>
      <c r="F32" s="85" t="s">
        <v>76</v>
      </c>
      <c r="G32" s="84" t="s">
        <v>74</v>
      </c>
      <c r="H32" s="84">
        <v>123456</v>
      </c>
      <c r="I32" s="84">
        <v>8123456</v>
      </c>
      <c r="J32" s="84" t="s">
        <v>70</v>
      </c>
      <c r="K32" s="85" t="s">
        <v>140</v>
      </c>
      <c r="L32" s="86" t="s">
        <v>141</v>
      </c>
      <c r="M32" s="87">
        <v>45291</v>
      </c>
      <c r="N32" s="82">
        <f>N31</f>
        <v>1245.1876000000002</v>
      </c>
      <c r="O32" s="92"/>
      <c r="P32" s="91" t="s">
        <v>149</v>
      </c>
    </row>
    <row r="33" spans="2:16" ht="15.75" customHeight="1" x14ac:dyDescent="0.25">
      <c r="B33" s="28" t="s">
        <v>72</v>
      </c>
      <c r="C33" s="29" t="s">
        <v>73</v>
      </c>
      <c r="D33" s="29" t="s">
        <v>69</v>
      </c>
      <c r="E33" s="29" t="s">
        <v>77</v>
      </c>
      <c r="F33" s="30" t="s">
        <v>78</v>
      </c>
      <c r="G33" s="29" t="s">
        <v>74</v>
      </c>
      <c r="H33" s="29">
        <v>123456</v>
      </c>
      <c r="I33" s="29">
        <v>8123456</v>
      </c>
      <c r="J33" s="29" t="s">
        <v>70</v>
      </c>
      <c r="K33" s="30" t="s">
        <v>139</v>
      </c>
      <c r="L33" s="35" t="s">
        <v>142</v>
      </c>
      <c r="M33" s="31">
        <v>44592</v>
      </c>
      <c r="N33" s="32">
        <v>91.21</v>
      </c>
      <c r="O33" s="89"/>
      <c r="P33" s="89"/>
    </row>
    <row r="34" spans="2:16" ht="15.75" customHeight="1" x14ac:dyDescent="0.25">
      <c r="B34" s="38" t="s">
        <v>72</v>
      </c>
      <c r="C34" s="39" t="s">
        <v>73</v>
      </c>
      <c r="D34" s="39" t="s">
        <v>69</v>
      </c>
      <c r="E34" s="39" t="s">
        <v>77</v>
      </c>
      <c r="F34" s="40" t="s">
        <v>78</v>
      </c>
      <c r="G34" s="39" t="s">
        <v>74</v>
      </c>
      <c r="H34" s="39">
        <v>123456</v>
      </c>
      <c r="I34" s="39">
        <v>8123456</v>
      </c>
      <c r="J34" s="39" t="s">
        <v>70</v>
      </c>
      <c r="K34" s="40" t="s">
        <v>139</v>
      </c>
      <c r="L34" s="41" t="s">
        <v>142</v>
      </c>
      <c r="M34" s="42">
        <v>44620</v>
      </c>
      <c r="N34" s="37">
        <v>91.21</v>
      </c>
      <c r="O34" s="92"/>
      <c r="P34" s="92"/>
    </row>
    <row r="35" spans="2:16" ht="15.75" customHeight="1" x14ac:dyDescent="0.25">
      <c r="B35" s="28" t="s">
        <v>72</v>
      </c>
      <c r="C35" s="29" t="s">
        <v>73</v>
      </c>
      <c r="D35" s="29" t="s">
        <v>69</v>
      </c>
      <c r="E35" s="29" t="s">
        <v>77</v>
      </c>
      <c r="F35" s="30" t="s">
        <v>78</v>
      </c>
      <c r="G35" s="29" t="s">
        <v>74</v>
      </c>
      <c r="H35" s="29">
        <v>123456</v>
      </c>
      <c r="I35" s="29">
        <v>8123456</v>
      </c>
      <c r="J35" s="29" t="s">
        <v>70</v>
      </c>
      <c r="K35" s="30" t="s">
        <v>139</v>
      </c>
      <c r="L35" s="35" t="s">
        <v>142</v>
      </c>
      <c r="M35" s="31">
        <v>44651</v>
      </c>
      <c r="N35" s="32">
        <v>91.21</v>
      </c>
      <c r="O35" s="89"/>
      <c r="P35" s="89"/>
    </row>
    <row r="36" spans="2:16" ht="15.75" customHeight="1" x14ac:dyDescent="0.25">
      <c r="B36" s="38" t="s">
        <v>72</v>
      </c>
      <c r="C36" s="39" t="s">
        <v>73</v>
      </c>
      <c r="D36" s="39" t="s">
        <v>69</v>
      </c>
      <c r="E36" s="39" t="s">
        <v>77</v>
      </c>
      <c r="F36" s="40" t="s">
        <v>78</v>
      </c>
      <c r="G36" s="39" t="s">
        <v>74</v>
      </c>
      <c r="H36" s="39">
        <v>123456</v>
      </c>
      <c r="I36" s="39">
        <v>8123456</v>
      </c>
      <c r="J36" s="39" t="s">
        <v>70</v>
      </c>
      <c r="K36" s="40" t="s">
        <v>139</v>
      </c>
      <c r="L36" s="41" t="s">
        <v>142</v>
      </c>
      <c r="M36" s="42">
        <v>44681</v>
      </c>
      <c r="N36" s="37">
        <v>91.21</v>
      </c>
      <c r="O36" s="92"/>
      <c r="P36" s="92"/>
    </row>
    <row r="37" spans="2:16" ht="15.75" customHeight="1" x14ac:dyDescent="0.25">
      <c r="B37" s="28" t="s">
        <v>72</v>
      </c>
      <c r="C37" s="29" t="s">
        <v>73</v>
      </c>
      <c r="D37" s="29" t="s">
        <v>69</v>
      </c>
      <c r="E37" s="29" t="s">
        <v>77</v>
      </c>
      <c r="F37" s="30" t="s">
        <v>78</v>
      </c>
      <c r="G37" s="29" t="s">
        <v>74</v>
      </c>
      <c r="H37" s="29">
        <v>123456</v>
      </c>
      <c r="I37" s="29">
        <v>8123456</v>
      </c>
      <c r="J37" s="29" t="s">
        <v>70</v>
      </c>
      <c r="K37" s="30" t="s">
        <v>139</v>
      </c>
      <c r="L37" s="35" t="s">
        <v>142</v>
      </c>
      <c r="M37" s="31">
        <v>44712</v>
      </c>
      <c r="N37" s="32">
        <v>91.21</v>
      </c>
      <c r="O37" s="89"/>
      <c r="P37" s="89"/>
    </row>
    <row r="38" spans="2:16" ht="15.75" customHeight="1" x14ac:dyDescent="0.25">
      <c r="B38" s="38" t="s">
        <v>72</v>
      </c>
      <c r="C38" s="39" t="s">
        <v>73</v>
      </c>
      <c r="D38" s="39" t="s">
        <v>69</v>
      </c>
      <c r="E38" s="39" t="s">
        <v>77</v>
      </c>
      <c r="F38" s="40" t="s">
        <v>78</v>
      </c>
      <c r="G38" s="39" t="s">
        <v>74</v>
      </c>
      <c r="H38" s="39">
        <v>123456</v>
      </c>
      <c r="I38" s="39">
        <v>8123456</v>
      </c>
      <c r="J38" s="39" t="s">
        <v>70</v>
      </c>
      <c r="K38" s="40" t="s">
        <v>139</v>
      </c>
      <c r="L38" s="41" t="s">
        <v>142</v>
      </c>
      <c r="M38" s="42">
        <v>44742</v>
      </c>
      <c r="N38" s="37">
        <v>91.21</v>
      </c>
      <c r="O38" s="92"/>
      <c r="P38" s="92"/>
    </row>
    <row r="39" spans="2:16" ht="15.75" customHeight="1" x14ac:dyDescent="0.25">
      <c r="B39" s="28" t="s">
        <v>72</v>
      </c>
      <c r="C39" s="29" t="s">
        <v>73</v>
      </c>
      <c r="D39" s="29" t="s">
        <v>69</v>
      </c>
      <c r="E39" s="29" t="s">
        <v>77</v>
      </c>
      <c r="F39" s="30" t="s">
        <v>78</v>
      </c>
      <c r="G39" s="29" t="s">
        <v>74</v>
      </c>
      <c r="H39" s="29">
        <v>123456</v>
      </c>
      <c r="I39" s="29">
        <v>8123456</v>
      </c>
      <c r="J39" s="29" t="s">
        <v>70</v>
      </c>
      <c r="K39" s="30" t="s">
        <v>139</v>
      </c>
      <c r="L39" s="35" t="s">
        <v>142</v>
      </c>
      <c r="M39" s="31">
        <v>44773</v>
      </c>
      <c r="N39" s="32">
        <v>91.21</v>
      </c>
      <c r="O39" s="89"/>
      <c r="P39" s="89"/>
    </row>
    <row r="40" spans="2:16" ht="15.75" customHeight="1" x14ac:dyDescent="0.25">
      <c r="B40" s="38" t="s">
        <v>72</v>
      </c>
      <c r="C40" s="39" t="s">
        <v>73</v>
      </c>
      <c r="D40" s="39" t="s">
        <v>69</v>
      </c>
      <c r="E40" s="39" t="s">
        <v>77</v>
      </c>
      <c r="F40" s="40" t="s">
        <v>78</v>
      </c>
      <c r="G40" s="39" t="s">
        <v>74</v>
      </c>
      <c r="H40" s="39">
        <v>123456</v>
      </c>
      <c r="I40" s="39">
        <v>8123456</v>
      </c>
      <c r="J40" s="39" t="s">
        <v>70</v>
      </c>
      <c r="K40" s="40" t="s">
        <v>139</v>
      </c>
      <c r="L40" s="41" t="s">
        <v>142</v>
      </c>
      <c r="M40" s="42">
        <v>44803</v>
      </c>
      <c r="N40" s="37">
        <v>91.21</v>
      </c>
      <c r="O40" s="92"/>
      <c r="P40" s="92"/>
    </row>
    <row r="41" spans="2:16" ht="15.75" customHeight="1" x14ac:dyDescent="0.25">
      <c r="B41" s="28" t="s">
        <v>72</v>
      </c>
      <c r="C41" s="29" t="s">
        <v>73</v>
      </c>
      <c r="D41" s="29" t="s">
        <v>69</v>
      </c>
      <c r="E41" s="29" t="s">
        <v>77</v>
      </c>
      <c r="F41" s="30" t="s">
        <v>78</v>
      </c>
      <c r="G41" s="29" t="s">
        <v>74</v>
      </c>
      <c r="H41" s="29">
        <v>123456</v>
      </c>
      <c r="I41" s="29">
        <v>8123456</v>
      </c>
      <c r="J41" s="29" t="s">
        <v>70</v>
      </c>
      <c r="K41" s="30" t="s">
        <v>139</v>
      </c>
      <c r="L41" s="35" t="s">
        <v>142</v>
      </c>
      <c r="M41" s="31">
        <v>44834</v>
      </c>
      <c r="N41" s="32">
        <v>92.08</v>
      </c>
      <c r="O41" s="89"/>
      <c r="P41" s="89"/>
    </row>
    <row r="42" spans="2:16" ht="15.75" customHeight="1" x14ac:dyDescent="0.25">
      <c r="B42" s="38" t="s">
        <v>72</v>
      </c>
      <c r="C42" s="39" t="s">
        <v>73</v>
      </c>
      <c r="D42" s="39" t="s">
        <v>69</v>
      </c>
      <c r="E42" s="39" t="s">
        <v>77</v>
      </c>
      <c r="F42" s="40" t="s">
        <v>78</v>
      </c>
      <c r="G42" s="39" t="s">
        <v>74</v>
      </c>
      <c r="H42" s="39">
        <v>123456</v>
      </c>
      <c r="I42" s="39">
        <v>8123456</v>
      </c>
      <c r="J42" s="39" t="s">
        <v>70</v>
      </c>
      <c r="K42" s="40" t="s">
        <v>139</v>
      </c>
      <c r="L42" s="41" t="s">
        <v>142</v>
      </c>
      <c r="M42" s="42">
        <v>44865</v>
      </c>
      <c r="N42" s="37">
        <v>92.08</v>
      </c>
      <c r="O42" s="92"/>
      <c r="P42" s="92"/>
    </row>
    <row r="43" spans="2:16" ht="15.75" customHeight="1" x14ac:dyDescent="0.25">
      <c r="B43" s="28" t="s">
        <v>72</v>
      </c>
      <c r="C43" s="29" t="s">
        <v>73</v>
      </c>
      <c r="D43" s="29" t="s">
        <v>69</v>
      </c>
      <c r="E43" s="29" t="s">
        <v>77</v>
      </c>
      <c r="F43" s="30" t="s">
        <v>78</v>
      </c>
      <c r="G43" s="29" t="s">
        <v>74</v>
      </c>
      <c r="H43" s="29">
        <v>123456</v>
      </c>
      <c r="I43" s="29">
        <v>8123456</v>
      </c>
      <c r="J43" s="29" t="s">
        <v>70</v>
      </c>
      <c r="K43" s="30" t="s">
        <v>139</v>
      </c>
      <c r="L43" s="35" t="s">
        <v>142</v>
      </c>
      <c r="M43" s="31">
        <v>44895</v>
      </c>
      <c r="N43" s="32">
        <v>92.08</v>
      </c>
      <c r="O43" s="89"/>
      <c r="P43" s="90" t="s">
        <v>149</v>
      </c>
    </row>
    <row r="44" spans="2:16" ht="15.75" customHeight="1" x14ac:dyDescent="0.25">
      <c r="B44" s="83" t="s">
        <v>72</v>
      </c>
      <c r="C44" s="84" t="s">
        <v>73</v>
      </c>
      <c r="D44" s="84" t="s">
        <v>69</v>
      </c>
      <c r="E44" s="84" t="s">
        <v>77</v>
      </c>
      <c r="F44" s="85" t="s">
        <v>78</v>
      </c>
      <c r="G44" s="84" t="s">
        <v>74</v>
      </c>
      <c r="H44" s="84">
        <v>123456</v>
      </c>
      <c r="I44" s="84">
        <v>8123456</v>
      </c>
      <c r="J44" s="84" t="s">
        <v>70</v>
      </c>
      <c r="K44" s="85" t="s">
        <v>139</v>
      </c>
      <c r="L44" s="86" t="s">
        <v>142</v>
      </c>
      <c r="M44" s="87">
        <v>44926</v>
      </c>
      <c r="N44" s="37">
        <v>92.08</v>
      </c>
      <c r="O44" s="93"/>
      <c r="P44" s="91" t="s">
        <v>149</v>
      </c>
    </row>
    <row r="45" spans="2:16" ht="15.75" customHeight="1" x14ac:dyDescent="0.25">
      <c r="B45" s="28" t="s">
        <v>72</v>
      </c>
      <c r="C45" s="29" t="s">
        <v>73</v>
      </c>
      <c r="D45" s="29" t="s">
        <v>69</v>
      </c>
      <c r="E45" s="29" t="s">
        <v>77</v>
      </c>
      <c r="F45" s="30" t="s">
        <v>78</v>
      </c>
      <c r="G45" s="29" t="s">
        <v>74</v>
      </c>
      <c r="H45" s="29">
        <v>123456</v>
      </c>
      <c r="I45" s="29">
        <v>8123456</v>
      </c>
      <c r="J45" s="29" t="s">
        <v>70</v>
      </c>
      <c r="K45" s="30" t="s">
        <v>139</v>
      </c>
      <c r="L45" s="35" t="s">
        <v>142</v>
      </c>
      <c r="M45" s="31">
        <v>44957</v>
      </c>
      <c r="N45" s="32">
        <v>92.08</v>
      </c>
      <c r="O45" s="89"/>
      <c r="P45" s="89"/>
    </row>
    <row r="46" spans="2:16" ht="15.75" customHeight="1" x14ac:dyDescent="0.25">
      <c r="B46" s="38" t="s">
        <v>72</v>
      </c>
      <c r="C46" s="39" t="s">
        <v>73</v>
      </c>
      <c r="D46" s="39" t="s">
        <v>69</v>
      </c>
      <c r="E46" s="39" t="s">
        <v>77</v>
      </c>
      <c r="F46" s="40" t="s">
        <v>78</v>
      </c>
      <c r="G46" s="39" t="s">
        <v>74</v>
      </c>
      <c r="H46" s="39">
        <v>123456</v>
      </c>
      <c r="I46" s="39">
        <v>8123456</v>
      </c>
      <c r="J46" s="39" t="s">
        <v>70</v>
      </c>
      <c r="K46" s="40" t="s">
        <v>139</v>
      </c>
      <c r="L46" s="41" t="s">
        <v>142</v>
      </c>
      <c r="M46" s="42">
        <v>44985</v>
      </c>
      <c r="N46" s="37">
        <v>92.08</v>
      </c>
      <c r="O46" s="92"/>
      <c r="P46" s="92"/>
    </row>
    <row r="47" spans="2:16" ht="15.75" customHeight="1" x14ac:dyDescent="0.25">
      <c r="B47" s="28" t="s">
        <v>72</v>
      </c>
      <c r="C47" s="29" t="s">
        <v>73</v>
      </c>
      <c r="D47" s="29" t="s">
        <v>69</v>
      </c>
      <c r="E47" s="29" t="s">
        <v>77</v>
      </c>
      <c r="F47" s="30" t="s">
        <v>78</v>
      </c>
      <c r="G47" s="29" t="s">
        <v>74</v>
      </c>
      <c r="H47" s="29">
        <v>123456</v>
      </c>
      <c r="I47" s="29">
        <v>8123456</v>
      </c>
      <c r="J47" s="29" t="s">
        <v>70</v>
      </c>
      <c r="K47" s="30" t="s">
        <v>139</v>
      </c>
      <c r="L47" s="35" t="s">
        <v>142</v>
      </c>
      <c r="M47" s="31">
        <v>45016</v>
      </c>
      <c r="N47" s="32">
        <v>92.08</v>
      </c>
      <c r="O47" s="89"/>
      <c r="P47" s="89"/>
    </row>
    <row r="48" spans="2:16" ht="15.75" customHeight="1" x14ac:dyDescent="0.25">
      <c r="B48" s="38" t="s">
        <v>72</v>
      </c>
      <c r="C48" s="39" t="s">
        <v>73</v>
      </c>
      <c r="D48" s="39" t="s">
        <v>69</v>
      </c>
      <c r="E48" s="39" t="s">
        <v>77</v>
      </c>
      <c r="F48" s="40" t="s">
        <v>78</v>
      </c>
      <c r="G48" s="39" t="s">
        <v>74</v>
      </c>
      <c r="H48" s="39">
        <v>123456</v>
      </c>
      <c r="I48" s="39">
        <v>8123456</v>
      </c>
      <c r="J48" s="39" t="s">
        <v>70</v>
      </c>
      <c r="K48" s="40" t="s">
        <v>139</v>
      </c>
      <c r="L48" s="41" t="s">
        <v>142</v>
      </c>
      <c r="M48" s="42">
        <v>45046</v>
      </c>
      <c r="N48" s="37">
        <v>92.08</v>
      </c>
      <c r="O48" s="92"/>
      <c r="P48" s="92"/>
    </row>
    <row r="49" spans="2:17" ht="15.75" customHeight="1" x14ac:dyDescent="0.25">
      <c r="B49" s="28" t="s">
        <v>72</v>
      </c>
      <c r="C49" s="29" t="s">
        <v>73</v>
      </c>
      <c r="D49" s="29" t="s">
        <v>69</v>
      </c>
      <c r="E49" s="29" t="s">
        <v>77</v>
      </c>
      <c r="F49" s="30" t="s">
        <v>78</v>
      </c>
      <c r="G49" s="29" t="s">
        <v>74</v>
      </c>
      <c r="H49" s="29">
        <v>123456</v>
      </c>
      <c r="I49" s="29">
        <v>8123456</v>
      </c>
      <c r="J49" s="29" t="s">
        <v>70</v>
      </c>
      <c r="K49" s="30" t="s">
        <v>139</v>
      </c>
      <c r="L49" s="35" t="s">
        <v>142</v>
      </c>
      <c r="M49" s="31">
        <v>45077</v>
      </c>
      <c r="N49" s="32">
        <v>92.08</v>
      </c>
      <c r="O49" s="89"/>
      <c r="P49" s="89"/>
    </row>
    <row r="50" spans="2:17" ht="15.75" customHeight="1" x14ac:dyDescent="0.25">
      <c r="B50" s="38" t="s">
        <v>72</v>
      </c>
      <c r="C50" s="39" t="s">
        <v>73</v>
      </c>
      <c r="D50" s="39" t="s">
        <v>69</v>
      </c>
      <c r="E50" s="39" t="s">
        <v>77</v>
      </c>
      <c r="F50" s="40" t="s">
        <v>78</v>
      </c>
      <c r="G50" s="39" t="s">
        <v>74</v>
      </c>
      <c r="H50" s="39">
        <v>123456</v>
      </c>
      <c r="I50" s="39">
        <v>8123456</v>
      </c>
      <c r="J50" s="39" t="s">
        <v>70</v>
      </c>
      <c r="K50" s="40" t="s">
        <v>139</v>
      </c>
      <c r="L50" s="41" t="s">
        <v>142</v>
      </c>
      <c r="M50" s="42">
        <v>45107</v>
      </c>
      <c r="N50" s="37">
        <v>92.08</v>
      </c>
      <c r="O50" s="92"/>
      <c r="P50" s="92"/>
    </row>
    <row r="51" spans="2:17" ht="15.75" customHeight="1" x14ac:dyDescent="0.25">
      <c r="B51" s="28" t="s">
        <v>72</v>
      </c>
      <c r="C51" s="29" t="s">
        <v>73</v>
      </c>
      <c r="D51" s="29" t="s">
        <v>69</v>
      </c>
      <c r="E51" s="29" t="s">
        <v>77</v>
      </c>
      <c r="F51" s="30" t="s">
        <v>78</v>
      </c>
      <c r="G51" s="29" t="s">
        <v>74</v>
      </c>
      <c r="H51" s="29">
        <v>123456</v>
      </c>
      <c r="I51" s="29">
        <v>8123456</v>
      </c>
      <c r="J51" s="29" t="s">
        <v>70</v>
      </c>
      <c r="K51" s="30" t="s">
        <v>139</v>
      </c>
      <c r="L51" s="35" t="s">
        <v>142</v>
      </c>
      <c r="M51" s="31">
        <v>45138</v>
      </c>
      <c r="N51" s="32">
        <v>92.08</v>
      </c>
      <c r="O51" s="89"/>
      <c r="P51" s="89"/>
    </row>
    <row r="52" spans="2:17" ht="15.75" customHeight="1" x14ac:dyDescent="0.25">
      <c r="B52" s="38" t="s">
        <v>72</v>
      </c>
      <c r="C52" s="39" t="s">
        <v>73</v>
      </c>
      <c r="D52" s="39" t="s">
        <v>69</v>
      </c>
      <c r="E52" s="39" t="s">
        <v>77</v>
      </c>
      <c r="F52" s="40" t="s">
        <v>78</v>
      </c>
      <c r="G52" s="39" t="s">
        <v>74</v>
      </c>
      <c r="H52" s="39">
        <v>123456</v>
      </c>
      <c r="I52" s="39">
        <v>8123456</v>
      </c>
      <c r="J52" s="39" t="s">
        <v>70</v>
      </c>
      <c r="K52" s="40" t="s">
        <v>139</v>
      </c>
      <c r="L52" s="41" t="s">
        <v>142</v>
      </c>
      <c r="M52" s="42">
        <v>45168</v>
      </c>
      <c r="N52" s="37">
        <v>92.08</v>
      </c>
      <c r="O52" s="92"/>
      <c r="P52" s="92"/>
    </row>
    <row r="53" spans="2:17" ht="15.75" customHeight="1" x14ac:dyDescent="0.25">
      <c r="B53" s="28" t="s">
        <v>72</v>
      </c>
      <c r="C53" s="29" t="s">
        <v>73</v>
      </c>
      <c r="D53" s="29" t="s">
        <v>69</v>
      </c>
      <c r="E53" s="29" t="s">
        <v>77</v>
      </c>
      <c r="F53" s="30" t="s">
        <v>78</v>
      </c>
      <c r="G53" s="29" t="s">
        <v>74</v>
      </c>
      <c r="H53" s="29">
        <v>123456</v>
      </c>
      <c r="I53" s="29">
        <v>8123456</v>
      </c>
      <c r="J53" s="29" t="s">
        <v>70</v>
      </c>
      <c r="K53" s="30" t="s">
        <v>139</v>
      </c>
      <c r="L53" s="35" t="s">
        <v>142</v>
      </c>
      <c r="M53" s="31">
        <v>45199</v>
      </c>
      <c r="N53" s="32">
        <f>N52*1.05</f>
        <v>96.683999999999997</v>
      </c>
      <c r="O53" s="89"/>
      <c r="P53" s="89"/>
    </row>
    <row r="54" spans="2:17" ht="15.75" customHeight="1" x14ac:dyDescent="0.25">
      <c r="B54" s="38" t="s">
        <v>72</v>
      </c>
      <c r="C54" s="39" t="s">
        <v>73</v>
      </c>
      <c r="D54" s="39" t="s">
        <v>69</v>
      </c>
      <c r="E54" s="39" t="s">
        <v>77</v>
      </c>
      <c r="F54" s="40" t="s">
        <v>78</v>
      </c>
      <c r="G54" s="39" t="s">
        <v>74</v>
      </c>
      <c r="H54" s="39">
        <v>123456</v>
      </c>
      <c r="I54" s="39">
        <v>8123456</v>
      </c>
      <c r="J54" s="39" t="s">
        <v>70</v>
      </c>
      <c r="K54" s="40" t="s">
        <v>139</v>
      </c>
      <c r="L54" s="41" t="s">
        <v>142</v>
      </c>
      <c r="M54" s="42">
        <v>45230</v>
      </c>
      <c r="N54" s="37">
        <f>N53</f>
        <v>96.683999999999997</v>
      </c>
      <c r="O54" s="92"/>
      <c r="P54" s="92"/>
    </row>
    <row r="55" spans="2:17" ht="15.75" customHeight="1" x14ac:dyDescent="0.25">
      <c r="B55" s="28" t="s">
        <v>72</v>
      </c>
      <c r="C55" s="29" t="s">
        <v>73</v>
      </c>
      <c r="D55" s="29" t="s">
        <v>69</v>
      </c>
      <c r="E55" s="29" t="s">
        <v>77</v>
      </c>
      <c r="F55" s="30" t="s">
        <v>78</v>
      </c>
      <c r="G55" s="29" t="s">
        <v>74</v>
      </c>
      <c r="H55" s="29">
        <v>123456</v>
      </c>
      <c r="I55" s="29">
        <v>8123456</v>
      </c>
      <c r="J55" s="29" t="s">
        <v>70</v>
      </c>
      <c r="K55" s="30" t="s">
        <v>139</v>
      </c>
      <c r="L55" s="35" t="s">
        <v>142</v>
      </c>
      <c r="M55" s="31">
        <v>45260</v>
      </c>
      <c r="N55" s="32">
        <f>N54</f>
        <v>96.683999999999997</v>
      </c>
      <c r="O55" s="89"/>
      <c r="P55" s="90" t="s">
        <v>149</v>
      </c>
    </row>
    <row r="56" spans="2:17" ht="15.75" customHeight="1" x14ac:dyDescent="0.25">
      <c r="B56" s="83" t="s">
        <v>72</v>
      </c>
      <c r="C56" s="84" t="s">
        <v>73</v>
      </c>
      <c r="D56" s="84" t="s">
        <v>69</v>
      </c>
      <c r="E56" s="84" t="s">
        <v>77</v>
      </c>
      <c r="F56" s="85" t="s">
        <v>78</v>
      </c>
      <c r="G56" s="84" t="s">
        <v>74</v>
      </c>
      <c r="H56" s="84">
        <v>123456</v>
      </c>
      <c r="I56" s="84">
        <v>8123456</v>
      </c>
      <c r="J56" s="84" t="s">
        <v>70</v>
      </c>
      <c r="K56" s="85" t="s">
        <v>139</v>
      </c>
      <c r="L56" s="86" t="s">
        <v>142</v>
      </c>
      <c r="M56" s="87">
        <v>45291</v>
      </c>
      <c r="N56" s="82">
        <f>N55</f>
        <v>96.683999999999997</v>
      </c>
      <c r="O56" s="93"/>
      <c r="P56" s="91" t="s">
        <v>149</v>
      </c>
    </row>
    <row r="57" spans="2:17" ht="15.75" customHeight="1" x14ac:dyDescent="0.3">
      <c r="B57" s="28" t="s">
        <v>72</v>
      </c>
      <c r="C57" s="29" t="s">
        <v>73</v>
      </c>
      <c r="D57" s="29" t="s">
        <v>69</v>
      </c>
      <c r="E57" s="29" t="s">
        <v>79</v>
      </c>
      <c r="F57" s="30" t="s">
        <v>80</v>
      </c>
      <c r="G57" s="29" t="s">
        <v>74</v>
      </c>
      <c r="H57" s="29">
        <v>123456</v>
      </c>
      <c r="I57" s="29">
        <v>8123456</v>
      </c>
      <c r="J57" s="29" t="s">
        <v>70</v>
      </c>
      <c r="K57" s="30" t="s">
        <v>140</v>
      </c>
      <c r="L57" s="35" t="s">
        <v>141</v>
      </c>
      <c r="M57" s="31">
        <v>44592</v>
      </c>
      <c r="N57" s="32">
        <v>380.92</v>
      </c>
      <c r="O57" s="89"/>
      <c r="P57" s="89"/>
      <c r="Q57" s="43"/>
    </row>
    <row r="58" spans="2:17" ht="15.75" customHeight="1" x14ac:dyDescent="0.25">
      <c r="B58" s="38" t="s">
        <v>72</v>
      </c>
      <c r="C58" s="39" t="s">
        <v>73</v>
      </c>
      <c r="D58" s="39" t="s">
        <v>69</v>
      </c>
      <c r="E58" s="39" t="s">
        <v>79</v>
      </c>
      <c r="F58" s="40" t="s">
        <v>80</v>
      </c>
      <c r="G58" s="39" t="s">
        <v>74</v>
      </c>
      <c r="H58" s="39">
        <v>123456</v>
      </c>
      <c r="I58" s="39">
        <v>8123456</v>
      </c>
      <c r="J58" s="39" t="s">
        <v>70</v>
      </c>
      <c r="K58" s="40" t="s">
        <v>140</v>
      </c>
      <c r="L58" s="41" t="s">
        <v>141</v>
      </c>
      <c r="M58" s="42">
        <v>44620</v>
      </c>
      <c r="N58" s="37">
        <v>380.92</v>
      </c>
      <c r="O58" s="92"/>
      <c r="P58" s="92"/>
    </row>
    <row r="59" spans="2:17" ht="15.75" customHeight="1" x14ac:dyDescent="0.25">
      <c r="B59" s="28" t="s">
        <v>72</v>
      </c>
      <c r="C59" s="29" t="s">
        <v>73</v>
      </c>
      <c r="D59" s="29" t="s">
        <v>69</v>
      </c>
      <c r="E59" s="29" t="s">
        <v>79</v>
      </c>
      <c r="F59" s="30" t="s">
        <v>80</v>
      </c>
      <c r="G59" s="29" t="s">
        <v>74</v>
      </c>
      <c r="H59" s="29">
        <v>123456</v>
      </c>
      <c r="I59" s="29">
        <v>8123456</v>
      </c>
      <c r="J59" s="29" t="s">
        <v>70</v>
      </c>
      <c r="K59" s="30" t="s">
        <v>140</v>
      </c>
      <c r="L59" s="35" t="s">
        <v>141</v>
      </c>
      <c r="M59" s="31">
        <v>44651</v>
      </c>
      <c r="N59" s="32">
        <v>380.92</v>
      </c>
      <c r="O59" s="89"/>
      <c r="P59" s="89"/>
    </row>
    <row r="60" spans="2:17" ht="15.75" customHeight="1" x14ac:dyDescent="0.25">
      <c r="B60" s="38" t="s">
        <v>72</v>
      </c>
      <c r="C60" s="39" t="s">
        <v>73</v>
      </c>
      <c r="D60" s="39" t="s">
        <v>69</v>
      </c>
      <c r="E60" s="39" t="s">
        <v>79</v>
      </c>
      <c r="F60" s="40" t="s">
        <v>80</v>
      </c>
      <c r="G60" s="39" t="s">
        <v>74</v>
      </c>
      <c r="H60" s="39">
        <v>123456</v>
      </c>
      <c r="I60" s="39">
        <v>8123456</v>
      </c>
      <c r="J60" s="39" t="s">
        <v>70</v>
      </c>
      <c r="K60" s="40" t="s">
        <v>140</v>
      </c>
      <c r="L60" s="41" t="s">
        <v>141</v>
      </c>
      <c r="M60" s="42">
        <v>44681</v>
      </c>
      <c r="N60" s="37">
        <v>380.92</v>
      </c>
      <c r="O60" s="92"/>
      <c r="P60" s="92"/>
    </row>
    <row r="61" spans="2:17" ht="15.75" customHeight="1" x14ac:dyDescent="0.25">
      <c r="B61" s="28" t="s">
        <v>72</v>
      </c>
      <c r="C61" s="29" t="s">
        <v>73</v>
      </c>
      <c r="D61" s="29" t="s">
        <v>69</v>
      </c>
      <c r="E61" s="29" t="s">
        <v>79</v>
      </c>
      <c r="F61" s="30" t="s">
        <v>80</v>
      </c>
      <c r="G61" s="29" t="s">
        <v>74</v>
      </c>
      <c r="H61" s="29">
        <v>123456</v>
      </c>
      <c r="I61" s="29">
        <v>8123456</v>
      </c>
      <c r="J61" s="29" t="s">
        <v>70</v>
      </c>
      <c r="K61" s="30" t="s">
        <v>140</v>
      </c>
      <c r="L61" s="35" t="s">
        <v>141</v>
      </c>
      <c r="M61" s="31">
        <v>44712</v>
      </c>
      <c r="N61" s="32">
        <v>380.92</v>
      </c>
      <c r="O61" s="89"/>
      <c r="P61" s="89"/>
    </row>
    <row r="62" spans="2:17" ht="15.75" customHeight="1" x14ac:dyDescent="0.25">
      <c r="B62" s="38" t="s">
        <v>72</v>
      </c>
      <c r="C62" s="39" t="s">
        <v>73</v>
      </c>
      <c r="D62" s="39" t="s">
        <v>69</v>
      </c>
      <c r="E62" s="39" t="s">
        <v>79</v>
      </c>
      <c r="F62" s="40" t="s">
        <v>80</v>
      </c>
      <c r="G62" s="39" t="s">
        <v>74</v>
      </c>
      <c r="H62" s="39">
        <v>123456</v>
      </c>
      <c r="I62" s="39">
        <v>8123456</v>
      </c>
      <c r="J62" s="39" t="s">
        <v>70</v>
      </c>
      <c r="K62" s="40" t="s">
        <v>140</v>
      </c>
      <c r="L62" s="41" t="s">
        <v>141</v>
      </c>
      <c r="M62" s="42">
        <v>44742</v>
      </c>
      <c r="N62" s="37">
        <v>380.92</v>
      </c>
      <c r="O62" s="92"/>
      <c r="P62" s="92"/>
    </row>
    <row r="63" spans="2:17" ht="15.75" customHeight="1" x14ac:dyDescent="0.25">
      <c r="B63" s="28" t="s">
        <v>72</v>
      </c>
      <c r="C63" s="29" t="s">
        <v>73</v>
      </c>
      <c r="D63" s="29" t="s">
        <v>69</v>
      </c>
      <c r="E63" s="29" t="s">
        <v>79</v>
      </c>
      <c r="F63" s="30" t="s">
        <v>80</v>
      </c>
      <c r="G63" s="29" t="s">
        <v>74</v>
      </c>
      <c r="H63" s="29">
        <v>123456</v>
      </c>
      <c r="I63" s="29">
        <v>8123456</v>
      </c>
      <c r="J63" s="29" t="s">
        <v>70</v>
      </c>
      <c r="K63" s="30" t="s">
        <v>140</v>
      </c>
      <c r="L63" s="35" t="s">
        <v>141</v>
      </c>
      <c r="M63" s="31">
        <v>44773</v>
      </c>
      <c r="N63" s="32">
        <v>380.92</v>
      </c>
      <c r="O63" s="89"/>
      <c r="P63" s="89"/>
    </row>
    <row r="64" spans="2:17" ht="15.75" customHeight="1" x14ac:dyDescent="0.25">
      <c r="B64" s="38" t="s">
        <v>72</v>
      </c>
      <c r="C64" s="39" t="s">
        <v>73</v>
      </c>
      <c r="D64" s="39" t="s">
        <v>69</v>
      </c>
      <c r="E64" s="39" t="s">
        <v>79</v>
      </c>
      <c r="F64" s="40" t="s">
        <v>80</v>
      </c>
      <c r="G64" s="39" t="s">
        <v>74</v>
      </c>
      <c r="H64" s="39">
        <v>123456</v>
      </c>
      <c r="I64" s="39">
        <v>8123456</v>
      </c>
      <c r="J64" s="39" t="s">
        <v>70</v>
      </c>
      <c r="K64" s="40" t="s">
        <v>140</v>
      </c>
      <c r="L64" s="41" t="s">
        <v>141</v>
      </c>
      <c r="M64" s="42">
        <v>44803</v>
      </c>
      <c r="N64" s="37">
        <v>380.92</v>
      </c>
      <c r="O64" s="92"/>
      <c r="P64" s="92"/>
    </row>
    <row r="65" spans="2:17" ht="15.75" customHeight="1" x14ac:dyDescent="0.25">
      <c r="B65" s="28" t="s">
        <v>72</v>
      </c>
      <c r="C65" s="29" t="s">
        <v>73</v>
      </c>
      <c r="D65" s="29" t="s">
        <v>69</v>
      </c>
      <c r="E65" s="29" t="s">
        <v>79</v>
      </c>
      <c r="F65" s="30" t="s">
        <v>80</v>
      </c>
      <c r="G65" s="29" t="s">
        <v>74</v>
      </c>
      <c r="H65" s="29">
        <v>123456</v>
      </c>
      <c r="I65" s="29">
        <v>8123456</v>
      </c>
      <c r="J65" s="29" t="s">
        <v>70</v>
      </c>
      <c r="K65" s="30" t="s">
        <v>140</v>
      </c>
      <c r="L65" s="35" t="s">
        <v>141</v>
      </c>
      <c r="M65" s="31">
        <v>44834</v>
      </c>
      <c r="N65" s="32">
        <f>N17*0.32</f>
        <v>386.85440000000006</v>
      </c>
      <c r="O65" s="89"/>
      <c r="P65" s="89"/>
    </row>
    <row r="66" spans="2:17" ht="15.75" customHeight="1" x14ac:dyDescent="0.25">
      <c r="B66" s="38" t="s">
        <v>72</v>
      </c>
      <c r="C66" s="39" t="s">
        <v>73</v>
      </c>
      <c r="D66" s="39" t="s">
        <v>69</v>
      </c>
      <c r="E66" s="39" t="s">
        <v>79</v>
      </c>
      <c r="F66" s="40" t="s">
        <v>80</v>
      </c>
      <c r="G66" s="39" t="s">
        <v>74</v>
      </c>
      <c r="H66" s="39">
        <v>123456</v>
      </c>
      <c r="I66" s="39">
        <v>8123456</v>
      </c>
      <c r="J66" s="39" t="s">
        <v>70</v>
      </c>
      <c r="K66" s="40" t="s">
        <v>140</v>
      </c>
      <c r="L66" s="41" t="s">
        <v>141</v>
      </c>
      <c r="M66" s="42">
        <v>44865</v>
      </c>
      <c r="N66" s="37">
        <f>N18*0.32</f>
        <v>386.85440000000006</v>
      </c>
      <c r="O66" s="92"/>
      <c r="P66" s="92"/>
    </row>
    <row r="67" spans="2:17" ht="15.75" customHeight="1" x14ac:dyDescent="0.25">
      <c r="B67" s="28" t="s">
        <v>72</v>
      </c>
      <c r="C67" s="29" t="s">
        <v>73</v>
      </c>
      <c r="D67" s="29" t="s">
        <v>69</v>
      </c>
      <c r="E67" s="29" t="s">
        <v>79</v>
      </c>
      <c r="F67" s="30" t="s">
        <v>80</v>
      </c>
      <c r="G67" s="29" t="s">
        <v>74</v>
      </c>
      <c r="H67" s="29">
        <v>123456</v>
      </c>
      <c r="I67" s="29">
        <v>8123456</v>
      </c>
      <c r="J67" s="29" t="s">
        <v>70</v>
      </c>
      <c r="K67" s="30" t="s">
        <v>140</v>
      </c>
      <c r="L67" s="35" t="s">
        <v>141</v>
      </c>
      <c r="M67" s="31">
        <v>44895</v>
      </c>
      <c r="N67" s="32">
        <f>N19*0.32</f>
        <v>386.85440000000006</v>
      </c>
      <c r="O67" s="89"/>
      <c r="P67" s="90" t="s">
        <v>149</v>
      </c>
    </row>
    <row r="68" spans="2:17" ht="15.75" customHeight="1" x14ac:dyDescent="0.25">
      <c r="B68" s="83" t="s">
        <v>72</v>
      </c>
      <c r="C68" s="84" t="s">
        <v>73</v>
      </c>
      <c r="D68" s="84" t="s">
        <v>69</v>
      </c>
      <c r="E68" s="84" t="s">
        <v>79</v>
      </c>
      <c r="F68" s="85" t="s">
        <v>80</v>
      </c>
      <c r="G68" s="84" t="s">
        <v>74</v>
      </c>
      <c r="H68" s="84">
        <v>123456</v>
      </c>
      <c r="I68" s="84">
        <v>8123456</v>
      </c>
      <c r="J68" s="84" t="s">
        <v>70</v>
      </c>
      <c r="K68" s="85" t="s">
        <v>140</v>
      </c>
      <c r="L68" s="86" t="s">
        <v>141</v>
      </c>
      <c r="M68" s="87">
        <v>44926</v>
      </c>
      <c r="N68" s="82">
        <f>N20*0.32</f>
        <v>386.85440000000006</v>
      </c>
      <c r="O68" s="92"/>
      <c r="P68" s="91" t="s">
        <v>149</v>
      </c>
    </row>
    <row r="69" spans="2:17" ht="15.75" customHeight="1" x14ac:dyDescent="0.3">
      <c r="B69" s="28" t="s">
        <v>72</v>
      </c>
      <c r="C69" s="29" t="s">
        <v>73</v>
      </c>
      <c r="D69" s="29" t="s">
        <v>69</v>
      </c>
      <c r="E69" s="29" t="s">
        <v>79</v>
      </c>
      <c r="F69" s="30" t="s">
        <v>80</v>
      </c>
      <c r="G69" s="29" t="s">
        <v>74</v>
      </c>
      <c r="H69" s="29">
        <v>123456</v>
      </c>
      <c r="I69" s="29">
        <v>8123456</v>
      </c>
      <c r="J69" s="29" t="s">
        <v>70</v>
      </c>
      <c r="K69" s="30" t="s">
        <v>140</v>
      </c>
      <c r="L69" s="35" t="s">
        <v>141</v>
      </c>
      <c r="M69" s="31">
        <v>44957</v>
      </c>
      <c r="N69" s="32">
        <f>N21*0.32</f>
        <v>386.85440000000006</v>
      </c>
      <c r="O69" s="89"/>
      <c r="P69" s="89"/>
      <c r="Q69" s="43"/>
    </row>
    <row r="70" spans="2:17" ht="15.75" customHeight="1" x14ac:dyDescent="0.25">
      <c r="B70" s="38" t="s">
        <v>72</v>
      </c>
      <c r="C70" s="39" t="s">
        <v>73</v>
      </c>
      <c r="D70" s="39" t="s">
        <v>69</v>
      </c>
      <c r="E70" s="39" t="s">
        <v>79</v>
      </c>
      <c r="F70" s="40" t="s">
        <v>80</v>
      </c>
      <c r="G70" s="39" t="s">
        <v>74</v>
      </c>
      <c r="H70" s="39">
        <v>123456</v>
      </c>
      <c r="I70" s="39">
        <v>8123456</v>
      </c>
      <c r="J70" s="39" t="s">
        <v>70</v>
      </c>
      <c r="K70" s="40" t="s">
        <v>140</v>
      </c>
      <c r="L70" s="41" t="s">
        <v>141</v>
      </c>
      <c r="M70" s="42">
        <v>44985</v>
      </c>
      <c r="N70" s="37">
        <f>N22*0.32</f>
        <v>386.85440000000006</v>
      </c>
      <c r="O70" s="92"/>
      <c r="P70" s="92"/>
    </row>
    <row r="71" spans="2:17" ht="15.75" customHeight="1" x14ac:dyDescent="0.25">
      <c r="B71" s="28" t="s">
        <v>72</v>
      </c>
      <c r="C71" s="29" t="s">
        <v>73</v>
      </c>
      <c r="D71" s="29" t="s">
        <v>69</v>
      </c>
      <c r="E71" s="29" t="s">
        <v>79</v>
      </c>
      <c r="F71" s="30" t="s">
        <v>80</v>
      </c>
      <c r="G71" s="29" t="s">
        <v>74</v>
      </c>
      <c r="H71" s="29">
        <v>123456</v>
      </c>
      <c r="I71" s="29">
        <v>8123456</v>
      </c>
      <c r="J71" s="29" t="s">
        <v>70</v>
      </c>
      <c r="K71" s="30" t="s">
        <v>140</v>
      </c>
      <c r="L71" s="35" t="s">
        <v>141</v>
      </c>
      <c r="M71" s="31">
        <v>45016</v>
      </c>
      <c r="N71" s="32">
        <f>N23*0.32</f>
        <v>386.85440000000006</v>
      </c>
      <c r="O71" s="89"/>
      <c r="P71" s="89"/>
    </row>
    <row r="72" spans="2:17" ht="15.75" customHeight="1" x14ac:dyDescent="0.25">
      <c r="B72" s="38" t="s">
        <v>72</v>
      </c>
      <c r="C72" s="39" t="s">
        <v>73</v>
      </c>
      <c r="D72" s="39" t="s">
        <v>69</v>
      </c>
      <c r="E72" s="39" t="s">
        <v>79</v>
      </c>
      <c r="F72" s="40" t="s">
        <v>80</v>
      </c>
      <c r="G72" s="39" t="s">
        <v>74</v>
      </c>
      <c r="H72" s="39">
        <v>123456</v>
      </c>
      <c r="I72" s="39">
        <v>8123456</v>
      </c>
      <c r="J72" s="39" t="s">
        <v>70</v>
      </c>
      <c r="K72" s="40" t="s">
        <v>140</v>
      </c>
      <c r="L72" s="41" t="s">
        <v>141</v>
      </c>
      <c r="M72" s="42">
        <v>45046</v>
      </c>
      <c r="N72" s="37">
        <f>N24*0.32</f>
        <v>386.85440000000006</v>
      </c>
      <c r="O72" s="92"/>
      <c r="P72" s="92"/>
    </row>
    <row r="73" spans="2:17" ht="15.75" customHeight="1" x14ac:dyDescent="0.25">
      <c r="B73" s="28" t="s">
        <v>72</v>
      </c>
      <c r="C73" s="29" t="s">
        <v>73</v>
      </c>
      <c r="D73" s="29" t="s">
        <v>69</v>
      </c>
      <c r="E73" s="29" t="s">
        <v>79</v>
      </c>
      <c r="F73" s="30" t="s">
        <v>80</v>
      </c>
      <c r="G73" s="29" t="s">
        <v>74</v>
      </c>
      <c r="H73" s="29">
        <v>123456</v>
      </c>
      <c r="I73" s="29">
        <v>8123456</v>
      </c>
      <c r="J73" s="29" t="s">
        <v>70</v>
      </c>
      <c r="K73" s="30" t="s">
        <v>140</v>
      </c>
      <c r="L73" s="35" t="s">
        <v>141</v>
      </c>
      <c r="M73" s="31">
        <v>45077</v>
      </c>
      <c r="N73" s="32">
        <f>N25*0.32</f>
        <v>386.85440000000006</v>
      </c>
      <c r="O73" s="89"/>
      <c r="P73" s="89"/>
    </row>
    <row r="74" spans="2:17" ht="15.75" customHeight="1" x14ac:dyDescent="0.25">
      <c r="B74" s="38" t="s">
        <v>72</v>
      </c>
      <c r="C74" s="39" t="s">
        <v>73</v>
      </c>
      <c r="D74" s="39" t="s">
        <v>69</v>
      </c>
      <c r="E74" s="39" t="s">
        <v>79</v>
      </c>
      <c r="F74" s="40" t="s">
        <v>80</v>
      </c>
      <c r="G74" s="39" t="s">
        <v>74</v>
      </c>
      <c r="H74" s="39">
        <v>123456</v>
      </c>
      <c r="I74" s="39">
        <v>8123456</v>
      </c>
      <c r="J74" s="39" t="s">
        <v>70</v>
      </c>
      <c r="K74" s="40" t="s">
        <v>140</v>
      </c>
      <c r="L74" s="41" t="s">
        <v>141</v>
      </c>
      <c r="M74" s="42">
        <v>45107</v>
      </c>
      <c r="N74" s="37">
        <f>N26*0.32</f>
        <v>386.85440000000006</v>
      </c>
      <c r="O74" s="92"/>
      <c r="P74" s="92"/>
    </row>
    <row r="75" spans="2:17" ht="15.75" customHeight="1" x14ac:dyDescent="0.25">
      <c r="B75" s="28" t="s">
        <v>72</v>
      </c>
      <c r="C75" s="29" t="s">
        <v>73</v>
      </c>
      <c r="D75" s="29" t="s">
        <v>69</v>
      </c>
      <c r="E75" s="29" t="s">
        <v>79</v>
      </c>
      <c r="F75" s="30" t="s">
        <v>80</v>
      </c>
      <c r="G75" s="29" t="s">
        <v>74</v>
      </c>
      <c r="H75" s="29">
        <v>123456</v>
      </c>
      <c r="I75" s="29">
        <v>8123456</v>
      </c>
      <c r="J75" s="29" t="s">
        <v>70</v>
      </c>
      <c r="K75" s="30" t="s">
        <v>140</v>
      </c>
      <c r="L75" s="35" t="s">
        <v>141</v>
      </c>
      <c r="M75" s="31">
        <v>45138</v>
      </c>
      <c r="N75" s="32">
        <f>N27*0.32</f>
        <v>386.85440000000006</v>
      </c>
      <c r="O75" s="89"/>
      <c r="P75" s="89"/>
    </row>
    <row r="76" spans="2:17" ht="15.75" customHeight="1" x14ac:dyDescent="0.25">
      <c r="B76" s="38" t="s">
        <v>72</v>
      </c>
      <c r="C76" s="39" t="s">
        <v>73</v>
      </c>
      <c r="D76" s="39" t="s">
        <v>69</v>
      </c>
      <c r="E76" s="39" t="s">
        <v>79</v>
      </c>
      <c r="F76" s="40" t="s">
        <v>80</v>
      </c>
      <c r="G76" s="39" t="s">
        <v>74</v>
      </c>
      <c r="H76" s="39">
        <v>123456</v>
      </c>
      <c r="I76" s="39">
        <v>8123456</v>
      </c>
      <c r="J76" s="39" t="s">
        <v>70</v>
      </c>
      <c r="K76" s="40" t="s">
        <v>140</v>
      </c>
      <c r="L76" s="41" t="s">
        <v>141</v>
      </c>
      <c r="M76" s="42">
        <v>45168</v>
      </c>
      <c r="N76" s="37">
        <f>N28*0.32</f>
        <v>386.85440000000006</v>
      </c>
      <c r="O76" s="92"/>
      <c r="P76" s="92"/>
    </row>
    <row r="77" spans="2:17" ht="15.75" customHeight="1" x14ac:dyDescent="0.25">
      <c r="B77" s="28" t="s">
        <v>72</v>
      </c>
      <c r="C77" s="29" t="s">
        <v>73</v>
      </c>
      <c r="D77" s="29" t="s">
        <v>69</v>
      </c>
      <c r="E77" s="29" t="s">
        <v>79</v>
      </c>
      <c r="F77" s="30" t="s">
        <v>80</v>
      </c>
      <c r="G77" s="29" t="s">
        <v>74</v>
      </c>
      <c r="H77" s="29">
        <v>123456</v>
      </c>
      <c r="I77" s="29">
        <v>8123456</v>
      </c>
      <c r="J77" s="29" t="s">
        <v>70</v>
      </c>
      <c r="K77" s="30" t="s">
        <v>140</v>
      </c>
      <c r="L77" s="35" t="s">
        <v>141</v>
      </c>
      <c r="M77" s="31">
        <v>45199</v>
      </c>
      <c r="N77" s="32">
        <f>N29*0.32</f>
        <v>398.46003200000007</v>
      </c>
      <c r="O77" s="89"/>
      <c r="P77" s="89"/>
    </row>
    <row r="78" spans="2:17" ht="15.75" customHeight="1" x14ac:dyDescent="0.25">
      <c r="B78" s="38" t="s">
        <v>72</v>
      </c>
      <c r="C78" s="39" t="s">
        <v>73</v>
      </c>
      <c r="D78" s="39" t="s">
        <v>69</v>
      </c>
      <c r="E78" s="39" t="s">
        <v>79</v>
      </c>
      <c r="F78" s="40" t="s">
        <v>80</v>
      </c>
      <c r="G78" s="39" t="s">
        <v>74</v>
      </c>
      <c r="H78" s="39">
        <v>123456</v>
      </c>
      <c r="I78" s="39">
        <v>8123456</v>
      </c>
      <c r="J78" s="39" t="s">
        <v>70</v>
      </c>
      <c r="K78" s="40" t="s">
        <v>140</v>
      </c>
      <c r="L78" s="41" t="s">
        <v>141</v>
      </c>
      <c r="M78" s="42">
        <v>45230</v>
      </c>
      <c r="N78" s="37">
        <f>N30*0.32</f>
        <v>398.46003200000007</v>
      </c>
      <c r="O78" s="92"/>
      <c r="P78" s="92"/>
    </row>
    <row r="79" spans="2:17" ht="15.75" customHeight="1" x14ac:dyDescent="0.25">
      <c r="B79" s="28" t="s">
        <v>72</v>
      </c>
      <c r="C79" s="29" t="s">
        <v>73</v>
      </c>
      <c r="D79" s="29" t="s">
        <v>69</v>
      </c>
      <c r="E79" s="29" t="s">
        <v>79</v>
      </c>
      <c r="F79" s="30" t="s">
        <v>80</v>
      </c>
      <c r="G79" s="29" t="s">
        <v>74</v>
      </c>
      <c r="H79" s="29">
        <v>123456</v>
      </c>
      <c r="I79" s="29">
        <v>8123456</v>
      </c>
      <c r="J79" s="29" t="s">
        <v>70</v>
      </c>
      <c r="K79" s="30" t="s">
        <v>140</v>
      </c>
      <c r="L79" s="35" t="s">
        <v>141</v>
      </c>
      <c r="M79" s="31">
        <v>45260</v>
      </c>
      <c r="N79" s="32">
        <f>N31*0.32</f>
        <v>398.46003200000007</v>
      </c>
      <c r="O79" s="89"/>
      <c r="P79" s="90" t="s">
        <v>149</v>
      </c>
    </row>
    <row r="80" spans="2:17" ht="15.75" customHeight="1" x14ac:dyDescent="0.25">
      <c r="B80" s="83" t="s">
        <v>72</v>
      </c>
      <c r="C80" s="84" t="s">
        <v>73</v>
      </c>
      <c r="D80" s="84" t="s">
        <v>69</v>
      </c>
      <c r="E80" s="84" t="s">
        <v>79</v>
      </c>
      <c r="F80" s="85" t="s">
        <v>80</v>
      </c>
      <c r="G80" s="84" t="s">
        <v>74</v>
      </c>
      <c r="H80" s="84">
        <v>123456</v>
      </c>
      <c r="I80" s="84">
        <v>8123456</v>
      </c>
      <c r="J80" s="84" t="s">
        <v>70</v>
      </c>
      <c r="K80" s="85" t="s">
        <v>140</v>
      </c>
      <c r="L80" s="86" t="s">
        <v>141</v>
      </c>
      <c r="M80" s="87">
        <v>45291</v>
      </c>
      <c r="N80" s="82">
        <f>N32*0.32</f>
        <v>398.46003200000007</v>
      </c>
      <c r="O80" s="92"/>
      <c r="P80" s="91" t="s">
        <v>149</v>
      </c>
    </row>
    <row r="81" spans="2:16" ht="15.75" customHeight="1" x14ac:dyDescent="0.25">
      <c r="B81" s="28" t="s">
        <v>72</v>
      </c>
      <c r="C81" s="29" t="s">
        <v>73</v>
      </c>
      <c r="D81" s="29" t="s">
        <v>69</v>
      </c>
      <c r="E81" s="29" t="s">
        <v>81</v>
      </c>
      <c r="F81" s="30" t="s">
        <v>82</v>
      </c>
      <c r="G81" s="29" t="s">
        <v>74</v>
      </c>
      <c r="H81" s="29">
        <v>123456</v>
      </c>
      <c r="I81" s="29">
        <v>8123456</v>
      </c>
      <c r="J81" s="29" t="s">
        <v>70</v>
      </c>
      <c r="K81" s="30" t="s">
        <v>139</v>
      </c>
      <c r="L81" s="35" t="s">
        <v>142</v>
      </c>
      <c r="M81" s="31">
        <v>44592</v>
      </c>
      <c r="N81" s="32">
        <f t="shared" ref="N81:N92" si="0">N33*0.48</f>
        <v>43.780799999999992</v>
      </c>
      <c r="O81" s="89"/>
      <c r="P81" s="89"/>
    </row>
    <row r="82" spans="2:16" ht="15.75" customHeight="1" x14ac:dyDescent="0.25">
      <c r="B82" s="38" t="s">
        <v>72</v>
      </c>
      <c r="C82" s="39" t="s">
        <v>73</v>
      </c>
      <c r="D82" s="39" t="s">
        <v>69</v>
      </c>
      <c r="E82" s="39" t="s">
        <v>81</v>
      </c>
      <c r="F82" s="40" t="s">
        <v>82</v>
      </c>
      <c r="G82" s="39" t="s">
        <v>74</v>
      </c>
      <c r="H82" s="39">
        <v>123456</v>
      </c>
      <c r="I82" s="39">
        <v>8123456</v>
      </c>
      <c r="J82" s="39" t="s">
        <v>70</v>
      </c>
      <c r="K82" s="40" t="s">
        <v>139</v>
      </c>
      <c r="L82" s="41" t="s">
        <v>142</v>
      </c>
      <c r="M82" s="42">
        <v>44620</v>
      </c>
      <c r="N82" s="37">
        <f t="shared" si="0"/>
        <v>43.780799999999992</v>
      </c>
      <c r="O82" s="92"/>
      <c r="P82" s="92"/>
    </row>
    <row r="83" spans="2:16" ht="15.75" customHeight="1" x14ac:dyDescent="0.25">
      <c r="B83" s="28" t="s">
        <v>72</v>
      </c>
      <c r="C83" s="29" t="s">
        <v>73</v>
      </c>
      <c r="D83" s="29" t="s">
        <v>69</v>
      </c>
      <c r="E83" s="29" t="s">
        <v>81</v>
      </c>
      <c r="F83" s="30" t="s">
        <v>82</v>
      </c>
      <c r="G83" s="29" t="s">
        <v>74</v>
      </c>
      <c r="H83" s="29">
        <v>123456</v>
      </c>
      <c r="I83" s="29">
        <v>8123456</v>
      </c>
      <c r="J83" s="29" t="s">
        <v>70</v>
      </c>
      <c r="K83" s="30" t="s">
        <v>139</v>
      </c>
      <c r="L83" s="35" t="s">
        <v>142</v>
      </c>
      <c r="M83" s="31">
        <v>44651</v>
      </c>
      <c r="N83" s="32">
        <f t="shared" si="0"/>
        <v>43.780799999999992</v>
      </c>
      <c r="O83" s="89"/>
      <c r="P83" s="89"/>
    </row>
    <row r="84" spans="2:16" ht="15.75" customHeight="1" x14ac:dyDescent="0.25">
      <c r="B84" s="38" t="s">
        <v>72</v>
      </c>
      <c r="C84" s="39" t="s">
        <v>73</v>
      </c>
      <c r="D84" s="39" t="s">
        <v>69</v>
      </c>
      <c r="E84" s="39" t="s">
        <v>81</v>
      </c>
      <c r="F84" s="40" t="s">
        <v>82</v>
      </c>
      <c r="G84" s="39" t="s">
        <v>74</v>
      </c>
      <c r="H84" s="39">
        <v>123456</v>
      </c>
      <c r="I84" s="39">
        <v>8123456</v>
      </c>
      <c r="J84" s="39" t="s">
        <v>70</v>
      </c>
      <c r="K84" s="40" t="s">
        <v>139</v>
      </c>
      <c r="L84" s="41" t="s">
        <v>142</v>
      </c>
      <c r="M84" s="42">
        <v>44681</v>
      </c>
      <c r="N84" s="37">
        <f t="shared" si="0"/>
        <v>43.780799999999992</v>
      </c>
      <c r="O84" s="92"/>
      <c r="P84" s="92"/>
    </row>
    <row r="85" spans="2:16" ht="15.75" customHeight="1" x14ac:dyDescent="0.25">
      <c r="B85" s="28" t="s">
        <v>72</v>
      </c>
      <c r="C85" s="29" t="s">
        <v>73</v>
      </c>
      <c r="D85" s="29" t="s">
        <v>69</v>
      </c>
      <c r="E85" s="29" t="s">
        <v>81</v>
      </c>
      <c r="F85" s="30" t="s">
        <v>82</v>
      </c>
      <c r="G85" s="29" t="s">
        <v>74</v>
      </c>
      <c r="H85" s="29">
        <v>123456</v>
      </c>
      <c r="I85" s="29">
        <v>8123456</v>
      </c>
      <c r="J85" s="29" t="s">
        <v>70</v>
      </c>
      <c r="K85" s="30" t="s">
        <v>139</v>
      </c>
      <c r="L85" s="35" t="s">
        <v>142</v>
      </c>
      <c r="M85" s="31">
        <v>44712</v>
      </c>
      <c r="N85" s="32">
        <f t="shared" si="0"/>
        <v>43.780799999999992</v>
      </c>
      <c r="O85" s="89"/>
      <c r="P85" s="89"/>
    </row>
    <row r="86" spans="2:16" ht="15.75" customHeight="1" x14ac:dyDescent="0.25">
      <c r="B86" s="38" t="s">
        <v>72</v>
      </c>
      <c r="C86" s="39" t="s">
        <v>73</v>
      </c>
      <c r="D86" s="39" t="s">
        <v>69</v>
      </c>
      <c r="E86" s="39" t="s">
        <v>81</v>
      </c>
      <c r="F86" s="40" t="s">
        <v>82</v>
      </c>
      <c r="G86" s="39" t="s">
        <v>74</v>
      </c>
      <c r="H86" s="39">
        <v>123456</v>
      </c>
      <c r="I86" s="39">
        <v>8123456</v>
      </c>
      <c r="J86" s="39" t="s">
        <v>70</v>
      </c>
      <c r="K86" s="40" t="s">
        <v>139</v>
      </c>
      <c r="L86" s="41" t="s">
        <v>142</v>
      </c>
      <c r="M86" s="42">
        <v>44742</v>
      </c>
      <c r="N86" s="37">
        <f t="shared" si="0"/>
        <v>43.780799999999992</v>
      </c>
      <c r="O86" s="92"/>
      <c r="P86" s="92"/>
    </row>
    <row r="87" spans="2:16" ht="15.75" customHeight="1" x14ac:dyDescent="0.25">
      <c r="B87" s="28" t="s">
        <v>72</v>
      </c>
      <c r="C87" s="29" t="s">
        <v>73</v>
      </c>
      <c r="D87" s="29" t="s">
        <v>69</v>
      </c>
      <c r="E87" s="29" t="s">
        <v>81</v>
      </c>
      <c r="F87" s="30" t="s">
        <v>82</v>
      </c>
      <c r="G87" s="29" t="s">
        <v>74</v>
      </c>
      <c r="H87" s="29">
        <v>123456</v>
      </c>
      <c r="I87" s="29">
        <v>8123456</v>
      </c>
      <c r="J87" s="29" t="s">
        <v>70</v>
      </c>
      <c r="K87" s="30" t="s">
        <v>139</v>
      </c>
      <c r="L87" s="35" t="s">
        <v>142</v>
      </c>
      <c r="M87" s="31">
        <v>44773</v>
      </c>
      <c r="N87" s="32">
        <f t="shared" si="0"/>
        <v>43.780799999999992</v>
      </c>
      <c r="O87" s="89"/>
      <c r="P87" s="89"/>
    </row>
    <row r="88" spans="2:16" ht="15.75" customHeight="1" x14ac:dyDescent="0.25">
      <c r="B88" s="38" t="s">
        <v>72</v>
      </c>
      <c r="C88" s="39" t="s">
        <v>73</v>
      </c>
      <c r="D88" s="39" t="s">
        <v>69</v>
      </c>
      <c r="E88" s="39" t="s">
        <v>81</v>
      </c>
      <c r="F88" s="40" t="s">
        <v>82</v>
      </c>
      <c r="G88" s="39" t="s">
        <v>74</v>
      </c>
      <c r="H88" s="39">
        <v>123456</v>
      </c>
      <c r="I88" s="39">
        <v>8123456</v>
      </c>
      <c r="J88" s="39" t="s">
        <v>70</v>
      </c>
      <c r="K88" s="40" t="s">
        <v>139</v>
      </c>
      <c r="L88" s="41" t="s">
        <v>142</v>
      </c>
      <c r="M88" s="42">
        <v>44803</v>
      </c>
      <c r="N88" s="37">
        <f t="shared" si="0"/>
        <v>43.780799999999992</v>
      </c>
      <c r="O88" s="92"/>
      <c r="P88" s="92"/>
    </row>
    <row r="89" spans="2:16" ht="15.75" customHeight="1" x14ac:dyDescent="0.25">
      <c r="B89" s="28" t="s">
        <v>72</v>
      </c>
      <c r="C89" s="29" t="s">
        <v>73</v>
      </c>
      <c r="D89" s="29" t="s">
        <v>69</v>
      </c>
      <c r="E89" s="29" t="s">
        <v>81</v>
      </c>
      <c r="F89" s="30" t="s">
        <v>82</v>
      </c>
      <c r="G89" s="29" t="s">
        <v>74</v>
      </c>
      <c r="H89" s="29">
        <v>123456</v>
      </c>
      <c r="I89" s="29">
        <v>8123456</v>
      </c>
      <c r="J89" s="29" t="s">
        <v>70</v>
      </c>
      <c r="K89" s="30" t="s">
        <v>139</v>
      </c>
      <c r="L89" s="35" t="s">
        <v>142</v>
      </c>
      <c r="M89" s="31">
        <v>44834</v>
      </c>
      <c r="N89" s="32">
        <f t="shared" si="0"/>
        <v>44.198399999999999</v>
      </c>
      <c r="O89" s="89"/>
      <c r="P89" s="89"/>
    </row>
    <row r="90" spans="2:16" ht="15.75" customHeight="1" x14ac:dyDescent="0.25">
      <c r="B90" s="38" t="s">
        <v>72</v>
      </c>
      <c r="C90" s="39" t="s">
        <v>73</v>
      </c>
      <c r="D90" s="39" t="s">
        <v>69</v>
      </c>
      <c r="E90" s="39" t="s">
        <v>81</v>
      </c>
      <c r="F90" s="40" t="s">
        <v>82</v>
      </c>
      <c r="G90" s="39" t="s">
        <v>74</v>
      </c>
      <c r="H90" s="39">
        <v>123456</v>
      </c>
      <c r="I90" s="39">
        <v>8123456</v>
      </c>
      <c r="J90" s="39" t="s">
        <v>70</v>
      </c>
      <c r="K90" s="40" t="s">
        <v>139</v>
      </c>
      <c r="L90" s="41" t="s">
        <v>142</v>
      </c>
      <c r="M90" s="42">
        <v>44865</v>
      </c>
      <c r="N90" s="37">
        <f t="shared" si="0"/>
        <v>44.198399999999999</v>
      </c>
      <c r="O90" s="92"/>
      <c r="P90" s="92"/>
    </row>
    <row r="91" spans="2:16" ht="15.75" customHeight="1" x14ac:dyDescent="0.25">
      <c r="B91" s="28" t="s">
        <v>72</v>
      </c>
      <c r="C91" s="29" t="s">
        <v>73</v>
      </c>
      <c r="D91" s="29" t="s">
        <v>69</v>
      </c>
      <c r="E91" s="29" t="s">
        <v>81</v>
      </c>
      <c r="F91" s="30" t="s">
        <v>82</v>
      </c>
      <c r="G91" s="29" t="s">
        <v>74</v>
      </c>
      <c r="H91" s="29">
        <v>123456</v>
      </c>
      <c r="I91" s="29">
        <v>8123456</v>
      </c>
      <c r="J91" s="29" t="s">
        <v>70</v>
      </c>
      <c r="K91" s="30" t="s">
        <v>139</v>
      </c>
      <c r="L91" s="35" t="s">
        <v>142</v>
      </c>
      <c r="M91" s="31">
        <v>44895</v>
      </c>
      <c r="N91" s="32">
        <f t="shared" si="0"/>
        <v>44.198399999999999</v>
      </c>
      <c r="O91" s="89"/>
      <c r="P91" s="90" t="s">
        <v>149</v>
      </c>
    </row>
    <row r="92" spans="2:16" ht="15.75" customHeight="1" x14ac:dyDescent="0.25">
      <c r="B92" s="83" t="s">
        <v>72</v>
      </c>
      <c r="C92" s="84" t="s">
        <v>73</v>
      </c>
      <c r="D92" s="84" t="s">
        <v>69</v>
      </c>
      <c r="E92" s="84" t="s">
        <v>81</v>
      </c>
      <c r="F92" s="85" t="s">
        <v>82</v>
      </c>
      <c r="G92" s="84" t="s">
        <v>74</v>
      </c>
      <c r="H92" s="84">
        <v>123456</v>
      </c>
      <c r="I92" s="84">
        <v>8123456</v>
      </c>
      <c r="J92" s="84" t="s">
        <v>70</v>
      </c>
      <c r="K92" s="85" t="s">
        <v>139</v>
      </c>
      <c r="L92" s="86" t="s">
        <v>142</v>
      </c>
      <c r="M92" s="87">
        <v>44926</v>
      </c>
      <c r="N92" s="82">
        <f t="shared" si="0"/>
        <v>44.198399999999999</v>
      </c>
      <c r="O92" s="92"/>
      <c r="P92" s="91" t="s">
        <v>149</v>
      </c>
    </row>
    <row r="93" spans="2:16" ht="15.75" customHeight="1" x14ac:dyDescent="0.25">
      <c r="B93" s="28" t="s">
        <v>72</v>
      </c>
      <c r="C93" s="29" t="s">
        <v>73</v>
      </c>
      <c r="D93" s="29" t="s">
        <v>69</v>
      </c>
      <c r="E93" s="29" t="s">
        <v>81</v>
      </c>
      <c r="F93" s="30" t="s">
        <v>82</v>
      </c>
      <c r="G93" s="29" t="s">
        <v>74</v>
      </c>
      <c r="H93" s="29">
        <v>123456</v>
      </c>
      <c r="I93" s="29">
        <v>8123456</v>
      </c>
      <c r="J93" s="29" t="s">
        <v>70</v>
      </c>
      <c r="K93" s="30" t="s">
        <v>139</v>
      </c>
      <c r="L93" s="35" t="s">
        <v>142</v>
      </c>
      <c r="M93" s="31">
        <v>44957</v>
      </c>
      <c r="N93" s="32">
        <f t="shared" ref="N93:N104" si="1">N45*0.48</f>
        <v>44.198399999999999</v>
      </c>
      <c r="O93" s="89"/>
      <c r="P93" s="89"/>
    </row>
    <row r="94" spans="2:16" ht="15.75" customHeight="1" x14ac:dyDescent="0.25">
      <c r="B94" s="38" t="s">
        <v>72</v>
      </c>
      <c r="C94" s="39" t="s">
        <v>73</v>
      </c>
      <c r="D94" s="39" t="s">
        <v>69</v>
      </c>
      <c r="E94" s="39" t="s">
        <v>81</v>
      </c>
      <c r="F94" s="40" t="s">
        <v>82</v>
      </c>
      <c r="G94" s="39" t="s">
        <v>74</v>
      </c>
      <c r="H94" s="39">
        <v>123456</v>
      </c>
      <c r="I94" s="39">
        <v>8123456</v>
      </c>
      <c r="J94" s="39" t="s">
        <v>70</v>
      </c>
      <c r="K94" s="40" t="s">
        <v>139</v>
      </c>
      <c r="L94" s="41" t="s">
        <v>142</v>
      </c>
      <c r="M94" s="42">
        <v>44985</v>
      </c>
      <c r="N94" s="37">
        <f t="shared" si="1"/>
        <v>44.198399999999999</v>
      </c>
      <c r="O94" s="92"/>
      <c r="P94" s="92"/>
    </row>
    <row r="95" spans="2:16" ht="15.75" customHeight="1" x14ac:dyDescent="0.25">
      <c r="B95" s="28" t="s">
        <v>72</v>
      </c>
      <c r="C95" s="29" t="s">
        <v>73</v>
      </c>
      <c r="D95" s="29" t="s">
        <v>69</v>
      </c>
      <c r="E95" s="29" t="s">
        <v>81</v>
      </c>
      <c r="F95" s="30" t="s">
        <v>82</v>
      </c>
      <c r="G95" s="29" t="s">
        <v>74</v>
      </c>
      <c r="H95" s="29">
        <v>123456</v>
      </c>
      <c r="I95" s="29">
        <v>8123456</v>
      </c>
      <c r="J95" s="29" t="s">
        <v>70</v>
      </c>
      <c r="K95" s="30" t="s">
        <v>139</v>
      </c>
      <c r="L95" s="35" t="s">
        <v>142</v>
      </c>
      <c r="M95" s="31">
        <v>45016</v>
      </c>
      <c r="N95" s="32">
        <f t="shared" si="1"/>
        <v>44.198399999999999</v>
      </c>
      <c r="O95" s="89"/>
      <c r="P95" s="89"/>
    </row>
    <row r="96" spans="2:16" ht="15.75" customHeight="1" x14ac:dyDescent="0.25">
      <c r="B96" s="38" t="s">
        <v>72</v>
      </c>
      <c r="C96" s="39" t="s">
        <v>73</v>
      </c>
      <c r="D96" s="39" t="s">
        <v>69</v>
      </c>
      <c r="E96" s="39" t="s">
        <v>81</v>
      </c>
      <c r="F96" s="40" t="s">
        <v>82</v>
      </c>
      <c r="G96" s="39" t="s">
        <v>74</v>
      </c>
      <c r="H96" s="39">
        <v>123456</v>
      </c>
      <c r="I96" s="39">
        <v>8123456</v>
      </c>
      <c r="J96" s="39" t="s">
        <v>70</v>
      </c>
      <c r="K96" s="40" t="s">
        <v>139</v>
      </c>
      <c r="L96" s="41" t="s">
        <v>142</v>
      </c>
      <c r="M96" s="42">
        <v>45046</v>
      </c>
      <c r="N96" s="37">
        <f t="shared" si="1"/>
        <v>44.198399999999999</v>
      </c>
      <c r="O96" s="92"/>
      <c r="P96" s="92"/>
    </row>
    <row r="97" spans="2:17" ht="15.75" customHeight="1" x14ac:dyDescent="0.25">
      <c r="B97" s="28" t="s">
        <v>72</v>
      </c>
      <c r="C97" s="29" t="s">
        <v>73</v>
      </c>
      <c r="D97" s="29" t="s">
        <v>69</v>
      </c>
      <c r="E97" s="29" t="s">
        <v>81</v>
      </c>
      <c r="F97" s="30" t="s">
        <v>82</v>
      </c>
      <c r="G97" s="29" t="s">
        <v>74</v>
      </c>
      <c r="H97" s="29">
        <v>123456</v>
      </c>
      <c r="I97" s="29">
        <v>8123456</v>
      </c>
      <c r="J97" s="29" t="s">
        <v>70</v>
      </c>
      <c r="K97" s="30" t="s">
        <v>139</v>
      </c>
      <c r="L97" s="35" t="s">
        <v>142</v>
      </c>
      <c r="M97" s="31">
        <v>45077</v>
      </c>
      <c r="N97" s="32">
        <f t="shared" si="1"/>
        <v>44.198399999999999</v>
      </c>
      <c r="O97" s="89"/>
      <c r="P97" s="89"/>
    </row>
    <row r="98" spans="2:17" ht="15.75" customHeight="1" x14ac:dyDescent="0.25">
      <c r="B98" s="38" t="s">
        <v>72</v>
      </c>
      <c r="C98" s="39" t="s">
        <v>73</v>
      </c>
      <c r="D98" s="39" t="s">
        <v>69</v>
      </c>
      <c r="E98" s="39" t="s">
        <v>81</v>
      </c>
      <c r="F98" s="40" t="s">
        <v>82</v>
      </c>
      <c r="G98" s="39" t="s">
        <v>74</v>
      </c>
      <c r="H98" s="39">
        <v>123456</v>
      </c>
      <c r="I98" s="39">
        <v>8123456</v>
      </c>
      <c r="J98" s="39" t="s">
        <v>70</v>
      </c>
      <c r="K98" s="40" t="s">
        <v>139</v>
      </c>
      <c r="L98" s="41" t="s">
        <v>142</v>
      </c>
      <c r="M98" s="42">
        <v>45107</v>
      </c>
      <c r="N98" s="37">
        <f t="shared" si="1"/>
        <v>44.198399999999999</v>
      </c>
      <c r="O98" s="92"/>
      <c r="P98" s="92"/>
    </row>
    <row r="99" spans="2:17" ht="15.75" customHeight="1" x14ac:dyDescent="0.25">
      <c r="B99" s="28" t="s">
        <v>72</v>
      </c>
      <c r="C99" s="29" t="s">
        <v>73</v>
      </c>
      <c r="D99" s="29" t="s">
        <v>69</v>
      </c>
      <c r="E99" s="29" t="s">
        <v>81</v>
      </c>
      <c r="F99" s="30" t="s">
        <v>82</v>
      </c>
      <c r="G99" s="29" t="s">
        <v>74</v>
      </c>
      <c r="H99" s="29">
        <v>123456</v>
      </c>
      <c r="I99" s="29">
        <v>8123456</v>
      </c>
      <c r="J99" s="29" t="s">
        <v>70</v>
      </c>
      <c r="K99" s="30" t="s">
        <v>139</v>
      </c>
      <c r="L99" s="35" t="s">
        <v>142</v>
      </c>
      <c r="M99" s="31">
        <v>45138</v>
      </c>
      <c r="N99" s="32">
        <f t="shared" si="1"/>
        <v>44.198399999999999</v>
      </c>
      <c r="O99" s="89"/>
      <c r="P99" s="89"/>
    </row>
    <row r="100" spans="2:17" ht="15.75" customHeight="1" x14ac:dyDescent="0.25">
      <c r="B100" s="38" t="s">
        <v>72</v>
      </c>
      <c r="C100" s="39" t="s">
        <v>73</v>
      </c>
      <c r="D100" s="39" t="s">
        <v>69</v>
      </c>
      <c r="E100" s="39" t="s">
        <v>81</v>
      </c>
      <c r="F100" s="40" t="s">
        <v>82</v>
      </c>
      <c r="G100" s="39" t="s">
        <v>74</v>
      </c>
      <c r="H100" s="39">
        <v>123456</v>
      </c>
      <c r="I100" s="39">
        <v>8123456</v>
      </c>
      <c r="J100" s="39" t="s">
        <v>70</v>
      </c>
      <c r="K100" s="40" t="s">
        <v>139</v>
      </c>
      <c r="L100" s="41" t="s">
        <v>142</v>
      </c>
      <c r="M100" s="42">
        <v>45168</v>
      </c>
      <c r="N100" s="37">
        <f t="shared" si="1"/>
        <v>44.198399999999999</v>
      </c>
      <c r="O100" s="92"/>
      <c r="P100" s="92"/>
    </row>
    <row r="101" spans="2:17" ht="15.75" customHeight="1" x14ac:dyDescent="0.25">
      <c r="B101" s="28" t="s">
        <v>72</v>
      </c>
      <c r="C101" s="29" t="s">
        <v>73</v>
      </c>
      <c r="D101" s="29" t="s">
        <v>69</v>
      </c>
      <c r="E101" s="29" t="s">
        <v>81</v>
      </c>
      <c r="F101" s="30" t="s">
        <v>82</v>
      </c>
      <c r="G101" s="29" t="s">
        <v>74</v>
      </c>
      <c r="H101" s="29">
        <v>123456</v>
      </c>
      <c r="I101" s="29">
        <v>8123456</v>
      </c>
      <c r="J101" s="29" t="s">
        <v>70</v>
      </c>
      <c r="K101" s="30" t="s">
        <v>139</v>
      </c>
      <c r="L101" s="35" t="s">
        <v>142</v>
      </c>
      <c r="M101" s="31">
        <v>45199</v>
      </c>
      <c r="N101" s="32">
        <f t="shared" si="1"/>
        <v>46.408319999999996</v>
      </c>
      <c r="O101" s="89"/>
      <c r="P101" s="89"/>
    </row>
    <row r="102" spans="2:17" ht="15.75" customHeight="1" x14ac:dyDescent="0.25">
      <c r="B102" s="38" t="s">
        <v>72</v>
      </c>
      <c r="C102" s="39" t="s">
        <v>73</v>
      </c>
      <c r="D102" s="39" t="s">
        <v>69</v>
      </c>
      <c r="E102" s="39" t="s">
        <v>81</v>
      </c>
      <c r="F102" s="40" t="s">
        <v>82</v>
      </c>
      <c r="G102" s="39" t="s">
        <v>74</v>
      </c>
      <c r="H102" s="39">
        <v>123456</v>
      </c>
      <c r="I102" s="39">
        <v>8123456</v>
      </c>
      <c r="J102" s="39" t="s">
        <v>70</v>
      </c>
      <c r="K102" s="40" t="s">
        <v>139</v>
      </c>
      <c r="L102" s="41" t="s">
        <v>142</v>
      </c>
      <c r="M102" s="42">
        <v>45230</v>
      </c>
      <c r="N102" s="37">
        <f t="shared" si="1"/>
        <v>46.408319999999996</v>
      </c>
      <c r="O102" s="92"/>
      <c r="P102" s="92"/>
    </row>
    <row r="103" spans="2:17" ht="15.75" customHeight="1" x14ac:dyDescent="0.25">
      <c r="B103" s="28" t="s">
        <v>72</v>
      </c>
      <c r="C103" s="29" t="s">
        <v>73</v>
      </c>
      <c r="D103" s="29" t="s">
        <v>69</v>
      </c>
      <c r="E103" s="29" t="s">
        <v>81</v>
      </c>
      <c r="F103" s="30" t="s">
        <v>82</v>
      </c>
      <c r="G103" s="29" t="s">
        <v>74</v>
      </c>
      <c r="H103" s="29">
        <v>123456</v>
      </c>
      <c r="I103" s="29">
        <v>8123456</v>
      </c>
      <c r="J103" s="29" t="s">
        <v>70</v>
      </c>
      <c r="K103" s="30" t="s">
        <v>139</v>
      </c>
      <c r="L103" s="35" t="s">
        <v>142</v>
      </c>
      <c r="M103" s="31">
        <v>45260</v>
      </c>
      <c r="N103" s="32">
        <f t="shared" si="1"/>
        <v>46.408319999999996</v>
      </c>
      <c r="O103" s="89"/>
      <c r="P103" s="90" t="s">
        <v>149</v>
      </c>
    </row>
    <row r="104" spans="2:17" ht="15.75" customHeight="1" x14ac:dyDescent="0.25">
      <c r="B104" s="83" t="s">
        <v>72</v>
      </c>
      <c r="C104" s="84" t="s">
        <v>73</v>
      </c>
      <c r="D104" s="84" t="s">
        <v>69</v>
      </c>
      <c r="E104" s="84" t="s">
        <v>81</v>
      </c>
      <c r="F104" s="85" t="s">
        <v>82</v>
      </c>
      <c r="G104" s="84" t="s">
        <v>74</v>
      </c>
      <c r="H104" s="84">
        <v>123456</v>
      </c>
      <c r="I104" s="84">
        <v>8123456</v>
      </c>
      <c r="J104" s="84" t="s">
        <v>70</v>
      </c>
      <c r="K104" s="85" t="s">
        <v>139</v>
      </c>
      <c r="L104" s="86" t="s">
        <v>142</v>
      </c>
      <c r="M104" s="87">
        <v>45291</v>
      </c>
      <c r="N104" s="82">
        <f t="shared" si="1"/>
        <v>46.408319999999996</v>
      </c>
      <c r="O104" s="92"/>
      <c r="P104" s="91" t="s">
        <v>149</v>
      </c>
    </row>
    <row r="105" spans="2:17" ht="15.75" customHeight="1" x14ac:dyDescent="0.25">
      <c r="B105" s="38" t="s">
        <v>85</v>
      </c>
      <c r="C105" s="39" t="s">
        <v>86</v>
      </c>
      <c r="D105" s="39" t="s">
        <v>69</v>
      </c>
      <c r="E105" s="39" t="s">
        <v>83</v>
      </c>
      <c r="F105" s="40" t="s">
        <v>84</v>
      </c>
      <c r="G105" s="39" t="s">
        <v>74</v>
      </c>
      <c r="H105" s="39">
        <v>123456</v>
      </c>
      <c r="I105" s="39">
        <v>8123456</v>
      </c>
      <c r="J105" s="39" t="s">
        <v>70</v>
      </c>
      <c r="K105" s="40" t="s">
        <v>87</v>
      </c>
      <c r="L105" s="41" t="s">
        <v>88</v>
      </c>
      <c r="M105" s="42">
        <v>45153</v>
      </c>
      <c r="N105" s="37">
        <f>127.89-14.84</f>
        <v>113.05</v>
      </c>
      <c r="O105" s="92"/>
      <c r="P105" s="92"/>
    </row>
    <row r="106" spans="2:17" ht="15.75" customHeight="1" x14ac:dyDescent="0.25">
      <c r="B106" s="28" t="s">
        <v>85</v>
      </c>
      <c r="C106" s="29" t="s">
        <v>86</v>
      </c>
      <c r="D106" s="29" t="s">
        <v>69</v>
      </c>
      <c r="E106" s="29" t="s">
        <v>83</v>
      </c>
      <c r="F106" s="30" t="s">
        <v>84</v>
      </c>
      <c r="G106" s="29" t="s">
        <v>74</v>
      </c>
      <c r="H106" s="29">
        <v>123456</v>
      </c>
      <c r="I106" s="29">
        <v>8123456</v>
      </c>
      <c r="J106" s="29" t="s">
        <v>70</v>
      </c>
      <c r="K106" s="30" t="s">
        <v>87</v>
      </c>
      <c r="L106" s="35" t="s">
        <v>90</v>
      </c>
      <c r="M106" s="31">
        <v>45158</v>
      </c>
      <c r="N106" s="32">
        <v>94.75</v>
      </c>
      <c r="O106" s="89"/>
      <c r="P106" s="89"/>
    </row>
    <row r="107" spans="2:17" ht="15.75" customHeight="1" x14ac:dyDescent="0.25">
      <c r="B107" s="38" t="s">
        <v>85</v>
      </c>
      <c r="C107" s="39" t="s">
        <v>86</v>
      </c>
      <c r="D107" s="39" t="s">
        <v>69</v>
      </c>
      <c r="E107" s="39" t="s">
        <v>83</v>
      </c>
      <c r="F107" s="40" t="s">
        <v>84</v>
      </c>
      <c r="G107" s="39" t="s">
        <v>74</v>
      </c>
      <c r="H107" s="39">
        <v>123456</v>
      </c>
      <c r="I107" s="39">
        <v>8123456</v>
      </c>
      <c r="J107" s="39" t="s">
        <v>70</v>
      </c>
      <c r="K107" s="40" t="s">
        <v>87</v>
      </c>
      <c r="L107" s="41" t="s">
        <v>91</v>
      </c>
      <c r="M107" s="42">
        <v>45166</v>
      </c>
      <c r="N107" s="37">
        <v>207.51</v>
      </c>
      <c r="O107" s="92"/>
      <c r="P107" s="92"/>
    </row>
    <row r="108" spans="2:17" ht="15.75" customHeight="1" x14ac:dyDescent="0.3">
      <c r="B108" s="28" t="s">
        <v>85</v>
      </c>
      <c r="C108" s="29" t="s">
        <v>86</v>
      </c>
      <c r="D108" s="29" t="s">
        <v>69</v>
      </c>
      <c r="E108" s="29" t="s">
        <v>94</v>
      </c>
      <c r="F108" s="30" t="s">
        <v>95</v>
      </c>
      <c r="G108" s="29" t="s">
        <v>74</v>
      </c>
      <c r="H108" s="29">
        <v>123456</v>
      </c>
      <c r="I108" s="29">
        <v>8123456</v>
      </c>
      <c r="J108" s="29" t="s">
        <v>70</v>
      </c>
      <c r="K108" s="30" t="s">
        <v>97</v>
      </c>
      <c r="L108" s="35" t="s">
        <v>98</v>
      </c>
      <c r="M108" s="31">
        <v>44939</v>
      </c>
      <c r="N108" s="32">
        <v>2773.13</v>
      </c>
      <c r="O108" s="89"/>
      <c r="P108" s="89"/>
      <c r="Q108" s="43"/>
    </row>
    <row r="109" spans="2:17" ht="15.75" customHeight="1" x14ac:dyDescent="0.25">
      <c r="B109" s="38" t="s">
        <v>85</v>
      </c>
      <c r="C109" s="39" t="s">
        <v>86</v>
      </c>
      <c r="D109" s="39" t="s">
        <v>69</v>
      </c>
      <c r="E109" s="39" t="s">
        <v>94</v>
      </c>
      <c r="F109" s="40" t="s">
        <v>95</v>
      </c>
      <c r="G109" s="39" t="s">
        <v>74</v>
      </c>
      <c r="H109" s="39">
        <v>123456</v>
      </c>
      <c r="I109" s="39">
        <v>8123456</v>
      </c>
      <c r="J109" s="39" t="s">
        <v>70</v>
      </c>
      <c r="K109" s="40" t="s">
        <v>96</v>
      </c>
      <c r="L109" s="41" t="s">
        <v>99</v>
      </c>
      <c r="M109" s="42">
        <v>44942</v>
      </c>
      <c r="N109" s="37">
        <v>568.53</v>
      </c>
      <c r="O109" s="92"/>
      <c r="P109" s="92"/>
    </row>
    <row r="110" spans="2:17" ht="15.75" customHeight="1" x14ac:dyDescent="0.25">
      <c r="B110" s="28" t="s">
        <v>85</v>
      </c>
      <c r="C110" s="29" t="s">
        <v>86</v>
      </c>
      <c r="D110" s="29" t="s">
        <v>69</v>
      </c>
      <c r="E110" s="29" t="s">
        <v>94</v>
      </c>
      <c r="F110" s="30" t="s">
        <v>95</v>
      </c>
      <c r="G110" s="29" t="s">
        <v>74</v>
      </c>
      <c r="H110" s="29">
        <v>123456</v>
      </c>
      <c r="I110" s="29">
        <v>8123456</v>
      </c>
      <c r="J110" s="29" t="s">
        <v>70</v>
      </c>
      <c r="K110" s="30" t="s">
        <v>87</v>
      </c>
      <c r="L110" s="35" t="s">
        <v>89</v>
      </c>
      <c r="M110" s="31">
        <v>45153</v>
      </c>
      <c r="N110" s="32">
        <v>128.38999999999999</v>
      </c>
      <c r="O110" s="89"/>
      <c r="P110" s="89"/>
    </row>
    <row r="111" spans="2:17" ht="15.75" customHeight="1" x14ac:dyDescent="0.25">
      <c r="B111" s="38" t="s">
        <v>85</v>
      </c>
      <c r="C111" s="39" t="s">
        <v>86</v>
      </c>
      <c r="D111" s="39" t="s">
        <v>69</v>
      </c>
      <c r="E111" s="39" t="s">
        <v>94</v>
      </c>
      <c r="F111" s="40" t="s">
        <v>95</v>
      </c>
      <c r="G111" s="39" t="s">
        <v>74</v>
      </c>
      <c r="H111" s="39">
        <v>123456</v>
      </c>
      <c r="I111" s="39">
        <v>8123456</v>
      </c>
      <c r="J111" s="39" t="s">
        <v>70</v>
      </c>
      <c r="K111" s="40" t="s">
        <v>101</v>
      </c>
      <c r="L111" s="41" t="s">
        <v>102</v>
      </c>
      <c r="M111" s="42">
        <v>45178</v>
      </c>
      <c r="N111" s="37">
        <v>9.4499999999999993</v>
      </c>
      <c r="O111" s="92"/>
      <c r="P111" s="92"/>
    </row>
    <row r="112" spans="2:17" ht="15.75" customHeight="1" x14ac:dyDescent="0.25">
      <c r="B112" s="28" t="s">
        <v>85</v>
      </c>
      <c r="C112" s="29" t="s">
        <v>86</v>
      </c>
      <c r="D112" s="29" t="s">
        <v>69</v>
      </c>
      <c r="E112" s="29" t="s">
        <v>94</v>
      </c>
      <c r="F112" s="30" t="s">
        <v>95</v>
      </c>
      <c r="G112" s="29" t="s">
        <v>74</v>
      </c>
      <c r="H112" s="29">
        <v>123456</v>
      </c>
      <c r="I112" s="29">
        <v>8123456</v>
      </c>
      <c r="J112" s="29" t="s">
        <v>70</v>
      </c>
      <c r="K112" s="30" t="s">
        <v>100</v>
      </c>
      <c r="L112" s="35" t="s">
        <v>103</v>
      </c>
      <c r="M112" s="31">
        <v>45184</v>
      </c>
      <c r="N112" s="32">
        <v>375.19</v>
      </c>
      <c r="O112" s="89"/>
      <c r="P112" s="89"/>
    </row>
    <row r="113" spans="2:16" ht="15.75" customHeight="1" x14ac:dyDescent="0.25">
      <c r="B113" s="38" t="s">
        <v>85</v>
      </c>
      <c r="C113" s="39" t="s">
        <v>86</v>
      </c>
      <c r="D113" s="39" t="s">
        <v>69</v>
      </c>
      <c r="E113" s="39" t="s">
        <v>94</v>
      </c>
      <c r="F113" s="40" t="s">
        <v>95</v>
      </c>
      <c r="G113" s="39" t="s">
        <v>74</v>
      </c>
      <c r="H113" s="39">
        <v>123456</v>
      </c>
      <c r="I113" s="39">
        <v>8123456</v>
      </c>
      <c r="J113" s="39" t="s">
        <v>70</v>
      </c>
      <c r="K113" s="40" t="s">
        <v>96</v>
      </c>
      <c r="L113" s="41" t="s">
        <v>104</v>
      </c>
      <c r="M113" s="42">
        <v>45213</v>
      </c>
      <c r="N113" s="37">
        <v>175.3</v>
      </c>
      <c r="O113" s="92"/>
      <c r="P113" s="92"/>
    </row>
    <row r="114" spans="2:16" ht="15.75" customHeight="1" x14ac:dyDescent="0.25">
      <c r="B114" s="28" t="s">
        <v>85</v>
      </c>
      <c r="C114" s="29" t="s">
        <v>86</v>
      </c>
      <c r="D114" s="29" t="s">
        <v>69</v>
      </c>
      <c r="E114" s="29" t="s">
        <v>105</v>
      </c>
      <c r="F114" s="30" t="s">
        <v>106</v>
      </c>
      <c r="G114" s="29" t="s">
        <v>74</v>
      </c>
      <c r="H114" s="29">
        <v>123456</v>
      </c>
      <c r="I114" s="29">
        <v>8123456</v>
      </c>
      <c r="J114" s="29" t="s">
        <v>70</v>
      </c>
      <c r="K114" s="30" t="s">
        <v>87</v>
      </c>
      <c r="L114" s="35" t="s">
        <v>107</v>
      </c>
      <c r="M114" s="31">
        <v>45201</v>
      </c>
      <c r="N114" s="32">
        <v>37.630000000000003</v>
      </c>
      <c r="O114" s="89"/>
      <c r="P114" s="89"/>
    </row>
    <row r="115" spans="2:16" ht="15.75" customHeight="1" x14ac:dyDescent="0.25">
      <c r="B115" s="38" t="s">
        <v>85</v>
      </c>
      <c r="C115" s="39" t="s">
        <v>86</v>
      </c>
      <c r="D115" s="39" t="s">
        <v>69</v>
      </c>
      <c r="E115" s="39" t="s">
        <v>108</v>
      </c>
      <c r="F115" s="40" t="s">
        <v>109</v>
      </c>
      <c r="G115" s="39" t="s">
        <v>74</v>
      </c>
      <c r="H115" s="39">
        <v>123456</v>
      </c>
      <c r="I115" s="39">
        <v>8123456</v>
      </c>
      <c r="J115" s="39" t="s">
        <v>70</v>
      </c>
      <c r="K115" s="40" t="s">
        <v>87</v>
      </c>
      <c r="L115" s="41" t="s">
        <v>110</v>
      </c>
      <c r="M115" s="42">
        <v>45012</v>
      </c>
      <c r="N115" s="37">
        <v>118.95</v>
      </c>
      <c r="O115" s="92"/>
      <c r="P115" s="92"/>
    </row>
    <row r="116" spans="2:16" ht="15.75" customHeight="1" x14ac:dyDescent="0.25">
      <c r="B116" s="28" t="s">
        <v>85</v>
      </c>
      <c r="C116" s="29" t="s">
        <v>86</v>
      </c>
      <c r="D116" s="29" t="s">
        <v>69</v>
      </c>
      <c r="E116" s="29" t="s">
        <v>111</v>
      </c>
      <c r="F116" s="30" t="s">
        <v>112</v>
      </c>
      <c r="G116" s="29" t="s">
        <v>74</v>
      </c>
      <c r="H116" s="29">
        <v>123456</v>
      </c>
      <c r="I116" s="29">
        <v>8123456</v>
      </c>
      <c r="J116" s="29" t="s">
        <v>70</v>
      </c>
      <c r="K116" s="30" t="s">
        <v>113</v>
      </c>
      <c r="L116" s="35" t="s">
        <v>114</v>
      </c>
      <c r="M116" s="31">
        <v>45172</v>
      </c>
      <c r="N116" s="32">
        <v>14600.88</v>
      </c>
      <c r="O116" s="89"/>
      <c r="P116" s="90" t="s">
        <v>149</v>
      </c>
    </row>
    <row r="117" spans="2:16" ht="15.75" customHeight="1" x14ac:dyDescent="0.25">
      <c r="B117" s="38" t="s">
        <v>92</v>
      </c>
      <c r="C117" s="39" t="s">
        <v>115</v>
      </c>
      <c r="D117" s="39" t="s">
        <v>69</v>
      </c>
      <c r="E117" s="39" t="s">
        <v>116</v>
      </c>
      <c r="F117" s="40" t="s">
        <v>117</v>
      </c>
      <c r="G117" s="39" t="s">
        <v>74</v>
      </c>
      <c r="H117" s="39">
        <v>123456</v>
      </c>
      <c r="I117" s="39">
        <v>8123456</v>
      </c>
      <c r="J117" s="39" t="s">
        <v>70</v>
      </c>
      <c r="K117" s="40" t="s">
        <v>118</v>
      </c>
      <c r="L117" s="41" t="s">
        <v>119</v>
      </c>
      <c r="M117" s="42">
        <v>44592</v>
      </c>
      <c r="N117" s="37">
        <f t="shared" ref="N117:N128" si="2">44*0.22</f>
        <v>9.68</v>
      </c>
      <c r="O117" s="92"/>
      <c r="P117" s="92"/>
    </row>
    <row r="118" spans="2:16" ht="15.75" customHeight="1" x14ac:dyDescent="0.25">
      <c r="B118" s="28" t="s">
        <v>92</v>
      </c>
      <c r="C118" s="29" t="s">
        <v>115</v>
      </c>
      <c r="D118" s="29" t="s">
        <v>69</v>
      </c>
      <c r="E118" s="29" t="s">
        <v>116</v>
      </c>
      <c r="F118" s="30" t="s">
        <v>117</v>
      </c>
      <c r="G118" s="29" t="s">
        <v>74</v>
      </c>
      <c r="H118" s="29">
        <v>123456</v>
      </c>
      <c r="I118" s="29">
        <v>8123456</v>
      </c>
      <c r="J118" s="29" t="s">
        <v>70</v>
      </c>
      <c r="K118" s="30" t="s">
        <v>118</v>
      </c>
      <c r="L118" s="35" t="s">
        <v>119</v>
      </c>
      <c r="M118" s="31">
        <v>44620</v>
      </c>
      <c r="N118" s="32">
        <f t="shared" si="2"/>
        <v>9.68</v>
      </c>
      <c r="O118" s="89"/>
      <c r="P118" s="89"/>
    </row>
    <row r="119" spans="2:16" ht="15.75" customHeight="1" x14ac:dyDescent="0.25">
      <c r="B119" s="38" t="s">
        <v>92</v>
      </c>
      <c r="C119" s="39" t="s">
        <v>115</v>
      </c>
      <c r="D119" s="39" t="s">
        <v>69</v>
      </c>
      <c r="E119" s="39" t="s">
        <v>116</v>
      </c>
      <c r="F119" s="40" t="s">
        <v>117</v>
      </c>
      <c r="G119" s="39" t="s">
        <v>74</v>
      </c>
      <c r="H119" s="39">
        <v>123456</v>
      </c>
      <c r="I119" s="39">
        <v>8123456</v>
      </c>
      <c r="J119" s="39" t="s">
        <v>70</v>
      </c>
      <c r="K119" s="40" t="s">
        <v>118</v>
      </c>
      <c r="L119" s="41" t="s">
        <v>119</v>
      </c>
      <c r="M119" s="42">
        <v>44651</v>
      </c>
      <c r="N119" s="37">
        <f t="shared" si="2"/>
        <v>9.68</v>
      </c>
      <c r="O119" s="92"/>
      <c r="P119" s="92"/>
    </row>
    <row r="120" spans="2:16" ht="15.75" customHeight="1" x14ac:dyDescent="0.25">
      <c r="B120" s="28" t="s">
        <v>92</v>
      </c>
      <c r="C120" s="29" t="s">
        <v>115</v>
      </c>
      <c r="D120" s="29" t="s">
        <v>69</v>
      </c>
      <c r="E120" s="29" t="s">
        <v>116</v>
      </c>
      <c r="F120" s="30" t="s">
        <v>117</v>
      </c>
      <c r="G120" s="29" t="s">
        <v>74</v>
      </c>
      <c r="H120" s="29">
        <v>123456</v>
      </c>
      <c r="I120" s="29">
        <v>8123456</v>
      </c>
      <c r="J120" s="29" t="s">
        <v>70</v>
      </c>
      <c r="K120" s="30" t="s">
        <v>118</v>
      </c>
      <c r="L120" s="35" t="s">
        <v>119</v>
      </c>
      <c r="M120" s="31">
        <v>44681</v>
      </c>
      <c r="N120" s="32">
        <f t="shared" si="2"/>
        <v>9.68</v>
      </c>
      <c r="O120" s="89"/>
      <c r="P120" s="89"/>
    </row>
    <row r="121" spans="2:16" ht="15.75" customHeight="1" x14ac:dyDescent="0.25">
      <c r="B121" s="38" t="s">
        <v>92</v>
      </c>
      <c r="C121" s="39" t="s">
        <v>115</v>
      </c>
      <c r="D121" s="39" t="s">
        <v>69</v>
      </c>
      <c r="E121" s="39" t="s">
        <v>116</v>
      </c>
      <c r="F121" s="40" t="s">
        <v>117</v>
      </c>
      <c r="G121" s="39" t="s">
        <v>74</v>
      </c>
      <c r="H121" s="39">
        <v>123456</v>
      </c>
      <c r="I121" s="39">
        <v>8123456</v>
      </c>
      <c r="J121" s="39" t="s">
        <v>70</v>
      </c>
      <c r="K121" s="40" t="s">
        <v>118</v>
      </c>
      <c r="L121" s="41" t="s">
        <v>119</v>
      </c>
      <c r="M121" s="42">
        <v>44712</v>
      </c>
      <c r="N121" s="37">
        <f t="shared" si="2"/>
        <v>9.68</v>
      </c>
      <c r="O121" s="92"/>
      <c r="P121" s="92"/>
    </row>
    <row r="122" spans="2:16" ht="15.75" customHeight="1" x14ac:dyDescent="0.25">
      <c r="B122" s="28" t="s">
        <v>92</v>
      </c>
      <c r="C122" s="29" t="s">
        <v>115</v>
      </c>
      <c r="D122" s="29" t="s">
        <v>69</v>
      </c>
      <c r="E122" s="29" t="s">
        <v>116</v>
      </c>
      <c r="F122" s="30" t="s">
        <v>117</v>
      </c>
      <c r="G122" s="29" t="s">
        <v>74</v>
      </c>
      <c r="H122" s="29">
        <v>123456</v>
      </c>
      <c r="I122" s="29">
        <v>8123456</v>
      </c>
      <c r="J122" s="29" t="s">
        <v>70</v>
      </c>
      <c r="K122" s="30" t="s">
        <v>118</v>
      </c>
      <c r="L122" s="35" t="s">
        <v>119</v>
      </c>
      <c r="M122" s="31">
        <v>44742</v>
      </c>
      <c r="N122" s="32">
        <f t="shared" si="2"/>
        <v>9.68</v>
      </c>
      <c r="O122" s="89"/>
      <c r="P122" s="89"/>
    </row>
    <row r="123" spans="2:16" ht="15.75" customHeight="1" x14ac:dyDescent="0.25">
      <c r="B123" s="38" t="s">
        <v>92</v>
      </c>
      <c r="C123" s="39" t="s">
        <v>115</v>
      </c>
      <c r="D123" s="39" t="s">
        <v>69</v>
      </c>
      <c r="E123" s="39" t="s">
        <v>116</v>
      </c>
      <c r="F123" s="40" t="s">
        <v>117</v>
      </c>
      <c r="G123" s="39" t="s">
        <v>74</v>
      </c>
      <c r="H123" s="39">
        <v>123456</v>
      </c>
      <c r="I123" s="39">
        <v>8123456</v>
      </c>
      <c r="J123" s="39" t="s">
        <v>70</v>
      </c>
      <c r="K123" s="40" t="s">
        <v>118</v>
      </c>
      <c r="L123" s="41" t="s">
        <v>119</v>
      </c>
      <c r="M123" s="42">
        <v>44773</v>
      </c>
      <c r="N123" s="37">
        <f t="shared" si="2"/>
        <v>9.68</v>
      </c>
      <c r="O123" s="92"/>
      <c r="P123" s="92"/>
    </row>
    <row r="124" spans="2:16" ht="15.75" customHeight="1" x14ac:dyDescent="0.25">
      <c r="B124" s="28" t="s">
        <v>92</v>
      </c>
      <c r="C124" s="29" t="s">
        <v>115</v>
      </c>
      <c r="D124" s="29" t="s">
        <v>69</v>
      </c>
      <c r="E124" s="29" t="s">
        <v>116</v>
      </c>
      <c r="F124" s="30" t="s">
        <v>117</v>
      </c>
      <c r="G124" s="29" t="s">
        <v>74</v>
      </c>
      <c r="H124" s="29">
        <v>123456</v>
      </c>
      <c r="I124" s="29">
        <v>8123456</v>
      </c>
      <c r="J124" s="29" t="s">
        <v>70</v>
      </c>
      <c r="K124" s="30" t="s">
        <v>118</v>
      </c>
      <c r="L124" s="35" t="s">
        <v>119</v>
      </c>
      <c r="M124" s="31">
        <v>44803</v>
      </c>
      <c r="N124" s="32">
        <f t="shared" si="2"/>
        <v>9.68</v>
      </c>
      <c r="O124" s="89"/>
      <c r="P124" s="89"/>
    </row>
    <row r="125" spans="2:16" ht="15.75" customHeight="1" x14ac:dyDescent="0.25">
      <c r="B125" s="38" t="s">
        <v>92</v>
      </c>
      <c r="C125" s="39" t="s">
        <v>115</v>
      </c>
      <c r="D125" s="39" t="s">
        <v>69</v>
      </c>
      <c r="E125" s="39" t="s">
        <v>116</v>
      </c>
      <c r="F125" s="40" t="s">
        <v>117</v>
      </c>
      <c r="G125" s="39" t="s">
        <v>74</v>
      </c>
      <c r="H125" s="39">
        <v>123456</v>
      </c>
      <c r="I125" s="39">
        <v>8123456</v>
      </c>
      <c r="J125" s="39" t="s">
        <v>70</v>
      </c>
      <c r="K125" s="40" t="s">
        <v>118</v>
      </c>
      <c r="L125" s="41" t="s">
        <v>119</v>
      </c>
      <c r="M125" s="42">
        <v>44834</v>
      </c>
      <c r="N125" s="37">
        <f t="shared" si="2"/>
        <v>9.68</v>
      </c>
      <c r="O125" s="92"/>
      <c r="P125" s="92"/>
    </row>
    <row r="126" spans="2:16" ht="15.75" customHeight="1" x14ac:dyDescent="0.25">
      <c r="B126" s="28" t="s">
        <v>92</v>
      </c>
      <c r="C126" s="29" t="s">
        <v>115</v>
      </c>
      <c r="D126" s="29" t="s">
        <v>69</v>
      </c>
      <c r="E126" s="29" t="s">
        <v>116</v>
      </c>
      <c r="F126" s="30" t="s">
        <v>117</v>
      </c>
      <c r="G126" s="29" t="s">
        <v>74</v>
      </c>
      <c r="H126" s="29">
        <v>123456</v>
      </c>
      <c r="I126" s="29">
        <v>8123456</v>
      </c>
      <c r="J126" s="29" t="s">
        <v>70</v>
      </c>
      <c r="K126" s="30" t="s">
        <v>118</v>
      </c>
      <c r="L126" s="35" t="s">
        <v>119</v>
      </c>
      <c r="M126" s="31">
        <v>44865</v>
      </c>
      <c r="N126" s="32">
        <f t="shared" si="2"/>
        <v>9.68</v>
      </c>
      <c r="O126" s="89"/>
      <c r="P126" s="89"/>
    </row>
    <row r="127" spans="2:16" ht="15.75" customHeight="1" x14ac:dyDescent="0.25">
      <c r="B127" s="83" t="s">
        <v>92</v>
      </c>
      <c r="C127" s="84" t="s">
        <v>115</v>
      </c>
      <c r="D127" s="84" t="s">
        <v>69</v>
      </c>
      <c r="E127" s="84" t="s">
        <v>116</v>
      </c>
      <c r="F127" s="85" t="s">
        <v>117</v>
      </c>
      <c r="G127" s="84" t="s">
        <v>74</v>
      </c>
      <c r="H127" s="84">
        <v>123456</v>
      </c>
      <c r="I127" s="84">
        <v>8123456</v>
      </c>
      <c r="J127" s="84" t="s">
        <v>70</v>
      </c>
      <c r="K127" s="85" t="s">
        <v>118</v>
      </c>
      <c r="L127" s="86" t="s">
        <v>119</v>
      </c>
      <c r="M127" s="42">
        <v>44895</v>
      </c>
      <c r="N127" s="37">
        <f t="shared" si="2"/>
        <v>9.68</v>
      </c>
      <c r="O127" s="92"/>
      <c r="P127" s="91" t="s">
        <v>149</v>
      </c>
    </row>
    <row r="128" spans="2:16" ht="15.75" customHeight="1" x14ac:dyDescent="0.25">
      <c r="B128" s="28" t="s">
        <v>92</v>
      </c>
      <c r="C128" s="29" t="s">
        <v>115</v>
      </c>
      <c r="D128" s="29" t="s">
        <v>69</v>
      </c>
      <c r="E128" s="29" t="s">
        <v>116</v>
      </c>
      <c r="F128" s="30" t="s">
        <v>117</v>
      </c>
      <c r="G128" s="29" t="s">
        <v>74</v>
      </c>
      <c r="H128" s="29">
        <v>123456</v>
      </c>
      <c r="I128" s="29">
        <v>8123456</v>
      </c>
      <c r="J128" s="29" t="s">
        <v>70</v>
      </c>
      <c r="K128" s="30" t="s">
        <v>118</v>
      </c>
      <c r="L128" s="35" t="s">
        <v>119</v>
      </c>
      <c r="M128" s="31">
        <v>44926</v>
      </c>
      <c r="N128" s="32">
        <f t="shared" si="2"/>
        <v>9.68</v>
      </c>
      <c r="O128" s="89"/>
      <c r="P128" s="90" t="s">
        <v>149</v>
      </c>
    </row>
    <row r="129" spans="2:16" ht="15.75" customHeight="1" x14ac:dyDescent="0.25">
      <c r="B129" s="38" t="s">
        <v>92</v>
      </c>
      <c r="C129" s="39" t="s">
        <v>115</v>
      </c>
      <c r="D129" s="39" t="s">
        <v>69</v>
      </c>
      <c r="E129" s="39" t="s">
        <v>116</v>
      </c>
      <c r="F129" s="40" t="s">
        <v>117</v>
      </c>
      <c r="G129" s="39" t="s">
        <v>74</v>
      </c>
      <c r="H129" s="39">
        <v>123456</v>
      </c>
      <c r="I129" s="39">
        <v>8123456</v>
      </c>
      <c r="J129" s="39" t="s">
        <v>70</v>
      </c>
      <c r="K129" s="40" t="s">
        <v>118</v>
      </c>
      <c r="L129" s="41" t="s">
        <v>119</v>
      </c>
      <c r="M129" s="42">
        <v>44957</v>
      </c>
      <c r="N129" s="37">
        <f t="shared" ref="N129:N140" si="3">44*0.22</f>
        <v>9.68</v>
      </c>
      <c r="O129" s="92"/>
      <c r="P129" s="92"/>
    </row>
    <row r="130" spans="2:16" ht="15.75" customHeight="1" x14ac:dyDescent="0.25">
      <c r="B130" s="28" t="s">
        <v>92</v>
      </c>
      <c r="C130" s="29" t="s">
        <v>115</v>
      </c>
      <c r="D130" s="29" t="s">
        <v>69</v>
      </c>
      <c r="E130" s="29" t="s">
        <v>116</v>
      </c>
      <c r="F130" s="30" t="s">
        <v>117</v>
      </c>
      <c r="G130" s="29" t="s">
        <v>74</v>
      </c>
      <c r="H130" s="29">
        <v>123456</v>
      </c>
      <c r="I130" s="29">
        <v>8123456</v>
      </c>
      <c r="J130" s="29" t="s">
        <v>70</v>
      </c>
      <c r="K130" s="30" t="s">
        <v>118</v>
      </c>
      <c r="L130" s="35" t="s">
        <v>119</v>
      </c>
      <c r="M130" s="31">
        <v>44985</v>
      </c>
      <c r="N130" s="32">
        <f t="shared" si="3"/>
        <v>9.68</v>
      </c>
      <c r="O130" s="89"/>
      <c r="P130" s="89"/>
    </row>
    <row r="131" spans="2:16" ht="15.75" customHeight="1" x14ac:dyDescent="0.25">
      <c r="B131" s="38" t="s">
        <v>92</v>
      </c>
      <c r="C131" s="39" t="s">
        <v>115</v>
      </c>
      <c r="D131" s="39" t="s">
        <v>69</v>
      </c>
      <c r="E131" s="39" t="s">
        <v>116</v>
      </c>
      <c r="F131" s="40" t="s">
        <v>117</v>
      </c>
      <c r="G131" s="39" t="s">
        <v>74</v>
      </c>
      <c r="H131" s="39">
        <v>123456</v>
      </c>
      <c r="I131" s="39">
        <v>8123456</v>
      </c>
      <c r="J131" s="39" t="s">
        <v>70</v>
      </c>
      <c r="K131" s="40" t="s">
        <v>118</v>
      </c>
      <c r="L131" s="41" t="s">
        <v>119</v>
      </c>
      <c r="M131" s="42">
        <v>45016</v>
      </c>
      <c r="N131" s="37">
        <f t="shared" si="3"/>
        <v>9.68</v>
      </c>
      <c r="O131" s="92"/>
      <c r="P131" s="92"/>
    </row>
    <row r="132" spans="2:16" ht="15.75" customHeight="1" x14ac:dyDescent="0.25">
      <c r="B132" s="28" t="s">
        <v>92</v>
      </c>
      <c r="C132" s="29" t="s">
        <v>115</v>
      </c>
      <c r="D132" s="29" t="s">
        <v>69</v>
      </c>
      <c r="E132" s="29" t="s">
        <v>116</v>
      </c>
      <c r="F132" s="30" t="s">
        <v>117</v>
      </c>
      <c r="G132" s="29" t="s">
        <v>74</v>
      </c>
      <c r="H132" s="29">
        <v>123456</v>
      </c>
      <c r="I132" s="29">
        <v>8123456</v>
      </c>
      <c r="J132" s="29" t="s">
        <v>70</v>
      </c>
      <c r="K132" s="30" t="s">
        <v>118</v>
      </c>
      <c r="L132" s="35" t="s">
        <v>119</v>
      </c>
      <c r="M132" s="31">
        <v>45046</v>
      </c>
      <c r="N132" s="32">
        <f t="shared" si="3"/>
        <v>9.68</v>
      </c>
      <c r="O132" s="89"/>
      <c r="P132" s="89"/>
    </row>
    <row r="133" spans="2:16" ht="15.75" customHeight="1" x14ac:dyDescent="0.25">
      <c r="B133" s="38" t="s">
        <v>92</v>
      </c>
      <c r="C133" s="39" t="s">
        <v>115</v>
      </c>
      <c r="D133" s="39" t="s">
        <v>69</v>
      </c>
      <c r="E133" s="39" t="s">
        <v>116</v>
      </c>
      <c r="F133" s="40" t="s">
        <v>117</v>
      </c>
      <c r="G133" s="39" t="s">
        <v>74</v>
      </c>
      <c r="H133" s="39">
        <v>123456</v>
      </c>
      <c r="I133" s="39">
        <v>8123456</v>
      </c>
      <c r="J133" s="39" t="s">
        <v>70</v>
      </c>
      <c r="K133" s="40" t="s">
        <v>118</v>
      </c>
      <c r="L133" s="41" t="s">
        <v>119</v>
      </c>
      <c r="M133" s="42">
        <v>45077</v>
      </c>
      <c r="N133" s="37">
        <f t="shared" si="3"/>
        <v>9.68</v>
      </c>
      <c r="O133" s="92"/>
      <c r="P133" s="92"/>
    </row>
    <row r="134" spans="2:16" ht="15.75" customHeight="1" x14ac:dyDescent="0.25">
      <c r="B134" s="28" t="s">
        <v>92</v>
      </c>
      <c r="C134" s="29" t="s">
        <v>115</v>
      </c>
      <c r="D134" s="29" t="s">
        <v>69</v>
      </c>
      <c r="E134" s="29" t="s">
        <v>116</v>
      </c>
      <c r="F134" s="30" t="s">
        <v>117</v>
      </c>
      <c r="G134" s="29" t="s">
        <v>74</v>
      </c>
      <c r="H134" s="29">
        <v>123456</v>
      </c>
      <c r="I134" s="29">
        <v>8123456</v>
      </c>
      <c r="J134" s="29" t="s">
        <v>70</v>
      </c>
      <c r="K134" s="30" t="s">
        <v>118</v>
      </c>
      <c r="L134" s="35" t="s">
        <v>119</v>
      </c>
      <c r="M134" s="31">
        <v>45107</v>
      </c>
      <c r="N134" s="32">
        <f t="shared" si="3"/>
        <v>9.68</v>
      </c>
      <c r="O134" s="89"/>
      <c r="P134" s="89"/>
    </row>
    <row r="135" spans="2:16" ht="15.75" customHeight="1" x14ac:dyDescent="0.25">
      <c r="B135" s="38" t="s">
        <v>92</v>
      </c>
      <c r="C135" s="39" t="s">
        <v>115</v>
      </c>
      <c r="D135" s="39" t="s">
        <v>69</v>
      </c>
      <c r="E135" s="39" t="s">
        <v>116</v>
      </c>
      <c r="F135" s="40" t="s">
        <v>117</v>
      </c>
      <c r="G135" s="39" t="s">
        <v>74</v>
      </c>
      <c r="H135" s="39">
        <v>123456</v>
      </c>
      <c r="I135" s="39">
        <v>8123456</v>
      </c>
      <c r="J135" s="39" t="s">
        <v>70</v>
      </c>
      <c r="K135" s="40" t="s">
        <v>118</v>
      </c>
      <c r="L135" s="41" t="s">
        <v>119</v>
      </c>
      <c r="M135" s="42">
        <v>45138</v>
      </c>
      <c r="N135" s="37">
        <f t="shared" si="3"/>
        <v>9.68</v>
      </c>
      <c r="O135" s="92"/>
      <c r="P135" s="92"/>
    </row>
    <row r="136" spans="2:16" ht="15.75" customHeight="1" x14ac:dyDescent="0.25">
      <c r="B136" s="28" t="s">
        <v>92</v>
      </c>
      <c r="C136" s="29" t="s">
        <v>115</v>
      </c>
      <c r="D136" s="29" t="s">
        <v>69</v>
      </c>
      <c r="E136" s="29" t="s">
        <v>116</v>
      </c>
      <c r="F136" s="30" t="s">
        <v>117</v>
      </c>
      <c r="G136" s="29" t="s">
        <v>74</v>
      </c>
      <c r="H136" s="29">
        <v>123456</v>
      </c>
      <c r="I136" s="29">
        <v>8123456</v>
      </c>
      <c r="J136" s="29" t="s">
        <v>70</v>
      </c>
      <c r="K136" s="30" t="s">
        <v>118</v>
      </c>
      <c r="L136" s="35" t="s">
        <v>119</v>
      </c>
      <c r="M136" s="31">
        <v>45169</v>
      </c>
      <c r="N136" s="32">
        <f t="shared" si="3"/>
        <v>9.68</v>
      </c>
      <c r="O136" s="89"/>
      <c r="P136" s="89"/>
    </row>
    <row r="137" spans="2:16" ht="15.75" customHeight="1" x14ac:dyDescent="0.25">
      <c r="B137" s="38" t="s">
        <v>92</v>
      </c>
      <c r="C137" s="39" t="s">
        <v>115</v>
      </c>
      <c r="D137" s="39" t="s">
        <v>69</v>
      </c>
      <c r="E137" s="39" t="s">
        <v>116</v>
      </c>
      <c r="F137" s="40" t="s">
        <v>117</v>
      </c>
      <c r="G137" s="39" t="s">
        <v>74</v>
      </c>
      <c r="H137" s="39">
        <v>123456</v>
      </c>
      <c r="I137" s="39">
        <v>8123456</v>
      </c>
      <c r="J137" s="39" t="s">
        <v>70</v>
      </c>
      <c r="K137" s="40" t="s">
        <v>118</v>
      </c>
      <c r="L137" s="41" t="s">
        <v>119</v>
      </c>
      <c r="M137" s="42">
        <v>45199</v>
      </c>
      <c r="N137" s="37">
        <f t="shared" si="3"/>
        <v>9.68</v>
      </c>
      <c r="O137" s="92"/>
      <c r="P137" s="92"/>
    </row>
    <row r="138" spans="2:16" ht="15.75" customHeight="1" x14ac:dyDescent="0.25">
      <c r="B138" s="28" t="s">
        <v>92</v>
      </c>
      <c r="C138" s="29" t="s">
        <v>115</v>
      </c>
      <c r="D138" s="29" t="s">
        <v>69</v>
      </c>
      <c r="E138" s="29" t="s">
        <v>116</v>
      </c>
      <c r="F138" s="30" t="s">
        <v>117</v>
      </c>
      <c r="G138" s="29" t="s">
        <v>74</v>
      </c>
      <c r="H138" s="29">
        <v>123456</v>
      </c>
      <c r="I138" s="29">
        <v>8123456</v>
      </c>
      <c r="J138" s="29" t="s">
        <v>70</v>
      </c>
      <c r="K138" s="30" t="s">
        <v>118</v>
      </c>
      <c r="L138" s="35" t="s">
        <v>119</v>
      </c>
      <c r="M138" s="31">
        <v>45230</v>
      </c>
      <c r="N138" s="32">
        <f t="shared" si="3"/>
        <v>9.68</v>
      </c>
      <c r="O138" s="89"/>
      <c r="P138" s="89"/>
    </row>
    <row r="139" spans="2:16" ht="15.75" customHeight="1" x14ac:dyDescent="0.25">
      <c r="B139" s="83" t="s">
        <v>92</v>
      </c>
      <c r="C139" s="84" t="s">
        <v>115</v>
      </c>
      <c r="D139" s="84" t="s">
        <v>69</v>
      </c>
      <c r="E139" s="84" t="s">
        <v>116</v>
      </c>
      <c r="F139" s="85" t="s">
        <v>117</v>
      </c>
      <c r="G139" s="84" t="s">
        <v>74</v>
      </c>
      <c r="H139" s="84">
        <v>123456</v>
      </c>
      <c r="I139" s="84">
        <v>8123456</v>
      </c>
      <c r="J139" s="84" t="s">
        <v>70</v>
      </c>
      <c r="K139" s="85" t="s">
        <v>118</v>
      </c>
      <c r="L139" s="86" t="s">
        <v>119</v>
      </c>
      <c r="M139" s="87">
        <v>45260</v>
      </c>
      <c r="N139" s="37">
        <f t="shared" si="3"/>
        <v>9.68</v>
      </c>
      <c r="O139" s="92"/>
      <c r="P139" s="91" t="s">
        <v>149</v>
      </c>
    </row>
    <row r="140" spans="2:16" ht="15.75" customHeight="1" x14ac:dyDescent="0.25">
      <c r="B140" s="28" t="s">
        <v>92</v>
      </c>
      <c r="C140" s="29" t="s">
        <v>115</v>
      </c>
      <c r="D140" s="29" t="s">
        <v>69</v>
      </c>
      <c r="E140" s="29" t="s">
        <v>116</v>
      </c>
      <c r="F140" s="30" t="s">
        <v>117</v>
      </c>
      <c r="G140" s="29" t="s">
        <v>74</v>
      </c>
      <c r="H140" s="29">
        <v>123456</v>
      </c>
      <c r="I140" s="29">
        <v>8123456</v>
      </c>
      <c r="J140" s="29" t="s">
        <v>70</v>
      </c>
      <c r="K140" s="30" t="s">
        <v>118</v>
      </c>
      <c r="L140" s="35" t="s">
        <v>119</v>
      </c>
      <c r="M140" s="31">
        <v>45291</v>
      </c>
      <c r="N140" s="32">
        <f t="shared" si="3"/>
        <v>9.68</v>
      </c>
      <c r="O140" s="89"/>
      <c r="P140" s="90" t="s">
        <v>149</v>
      </c>
    </row>
    <row r="141" spans="2:16" ht="15.75" customHeight="1" x14ac:dyDescent="0.25">
      <c r="B141" s="83" t="s">
        <v>92</v>
      </c>
      <c r="C141" s="84" t="s">
        <v>120</v>
      </c>
      <c r="D141" s="84" t="s">
        <v>69</v>
      </c>
      <c r="E141" s="84" t="s">
        <v>121</v>
      </c>
      <c r="F141" s="85" t="s">
        <v>122</v>
      </c>
      <c r="G141" s="84" t="s">
        <v>74</v>
      </c>
      <c r="H141" s="84">
        <v>123456</v>
      </c>
      <c r="I141" s="84">
        <v>8123456</v>
      </c>
      <c r="J141" s="84" t="s">
        <v>70</v>
      </c>
      <c r="K141" s="85" t="s">
        <v>123</v>
      </c>
      <c r="L141" s="86" t="s">
        <v>124</v>
      </c>
      <c r="M141" s="87">
        <v>45138</v>
      </c>
      <c r="N141" s="37">
        <v>114.4</v>
      </c>
      <c r="O141" s="92"/>
      <c r="P141" s="91" t="s">
        <v>149</v>
      </c>
    </row>
    <row r="142" spans="2:16" ht="15.75" customHeight="1" x14ac:dyDescent="0.25">
      <c r="B142" s="28" t="s">
        <v>92</v>
      </c>
      <c r="C142" s="29" t="s">
        <v>120</v>
      </c>
      <c r="D142" s="29" t="s">
        <v>69</v>
      </c>
      <c r="E142" s="29" t="s">
        <v>121</v>
      </c>
      <c r="F142" s="30" t="s">
        <v>122</v>
      </c>
      <c r="G142" s="29" t="s">
        <v>74</v>
      </c>
      <c r="H142" s="29">
        <v>123456</v>
      </c>
      <c r="I142" s="29">
        <v>8123456</v>
      </c>
      <c r="J142" s="29" t="s">
        <v>70</v>
      </c>
      <c r="K142" s="30" t="s">
        <v>123</v>
      </c>
      <c r="L142" s="35" t="s">
        <v>124</v>
      </c>
      <c r="M142" s="31">
        <v>45169</v>
      </c>
      <c r="N142" s="32">
        <v>114.4</v>
      </c>
      <c r="O142" s="89"/>
      <c r="P142" s="90" t="s">
        <v>149</v>
      </c>
    </row>
    <row r="143" spans="2:16" ht="15.75" customHeight="1" x14ac:dyDescent="0.25">
      <c r="B143" s="83" t="s">
        <v>68</v>
      </c>
      <c r="C143" s="84" t="s">
        <v>93</v>
      </c>
      <c r="D143" s="84" t="s">
        <v>69</v>
      </c>
      <c r="E143" s="84" t="s">
        <v>121</v>
      </c>
      <c r="F143" s="85" t="s">
        <v>122</v>
      </c>
      <c r="G143" s="84" t="s">
        <v>74</v>
      </c>
      <c r="H143" s="84">
        <v>123456</v>
      </c>
      <c r="I143" s="84">
        <v>8123456</v>
      </c>
      <c r="J143" s="84" t="s">
        <v>70</v>
      </c>
      <c r="K143" s="85" t="s">
        <v>123</v>
      </c>
      <c r="L143" s="86" t="s">
        <v>124</v>
      </c>
      <c r="M143" s="87">
        <v>45199</v>
      </c>
      <c r="N143" s="82">
        <v>114.4</v>
      </c>
      <c r="O143" s="92"/>
      <c r="P143" s="91" t="s">
        <v>149</v>
      </c>
    </row>
    <row r="144" spans="2:16" ht="15.75" customHeight="1" x14ac:dyDescent="0.25">
      <c r="B144" s="28" t="s">
        <v>68</v>
      </c>
      <c r="C144" s="29" t="s">
        <v>93</v>
      </c>
      <c r="D144" s="29" t="s">
        <v>69</v>
      </c>
      <c r="E144" s="29" t="s">
        <v>121</v>
      </c>
      <c r="F144" s="30" t="s">
        <v>122</v>
      </c>
      <c r="G144" s="29" t="s">
        <v>74</v>
      </c>
      <c r="H144" s="29">
        <v>123456</v>
      </c>
      <c r="I144" s="29">
        <v>8123456</v>
      </c>
      <c r="J144" s="29" t="s">
        <v>70</v>
      </c>
      <c r="K144" s="30" t="s">
        <v>125</v>
      </c>
      <c r="L144" s="35" t="s">
        <v>126</v>
      </c>
      <c r="M144" s="31">
        <v>45230</v>
      </c>
      <c r="N144" s="32">
        <v>114.4</v>
      </c>
      <c r="O144" s="89"/>
      <c r="P144" s="90" t="s">
        <v>149</v>
      </c>
    </row>
    <row r="145" spans="2:17" ht="15.75" customHeight="1" x14ac:dyDescent="0.25">
      <c r="B145" s="83" t="s">
        <v>85</v>
      </c>
      <c r="C145" s="84" t="s">
        <v>86</v>
      </c>
      <c r="D145" s="84" t="s">
        <v>69</v>
      </c>
      <c r="E145" s="84" t="s">
        <v>127</v>
      </c>
      <c r="F145" s="85" t="s">
        <v>128</v>
      </c>
      <c r="G145" s="84" t="s">
        <v>74</v>
      </c>
      <c r="H145" s="84">
        <v>123456</v>
      </c>
      <c r="I145" s="84">
        <v>8123456</v>
      </c>
      <c r="J145" s="84" t="s">
        <v>70</v>
      </c>
      <c r="K145" s="85" t="s">
        <v>129</v>
      </c>
      <c r="L145" s="86" t="s">
        <v>130</v>
      </c>
      <c r="M145" s="87">
        <v>45027</v>
      </c>
      <c r="N145" s="82">
        <v>2262.27</v>
      </c>
      <c r="O145" s="92"/>
      <c r="P145" s="91" t="s">
        <v>149</v>
      </c>
    </row>
    <row r="146" spans="2:17" ht="15.75" customHeight="1" x14ac:dyDescent="0.25">
      <c r="B146" s="28" t="s">
        <v>72</v>
      </c>
      <c r="C146" s="29" t="s">
        <v>131</v>
      </c>
      <c r="D146" s="29" t="s">
        <v>69</v>
      </c>
      <c r="E146" s="29" t="s">
        <v>132</v>
      </c>
      <c r="F146" s="30" t="s">
        <v>133</v>
      </c>
      <c r="G146" s="29" t="s">
        <v>74</v>
      </c>
      <c r="H146" s="29">
        <v>123456</v>
      </c>
      <c r="I146" s="29">
        <v>8123456</v>
      </c>
      <c r="J146" s="29" t="s">
        <v>70</v>
      </c>
      <c r="K146" s="30" t="s">
        <v>21</v>
      </c>
      <c r="L146" s="35" t="s">
        <v>71</v>
      </c>
      <c r="M146" s="31">
        <v>44592</v>
      </c>
      <c r="N146" s="32">
        <v>6.57</v>
      </c>
      <c r="O146" s="89"/>
      <c r="P146" s="89"/>
    </row>
    <row r="147" spans="2:17" ht="15.75" customHeight="1" x14ac:dyDescent="0.25">
      <c r="B147" s="38" t="s">
        <v>72</v>
      </c>
      <c r="C147" s="39" t="s">
        <v>131</v>
      </c>
      <c r="D147" s="39" t="s">
        <v>69</v>
      </c>
      <c r="E147" s="39" t="s">
        <v>132</v>
      </c>
      <c r="F147" s="40" t="s">
        <v>133</v>
      </c>
      <c r="G147" s="39" t="s">
        <v>74</v>
      </c>
      <c r="H147" s="39">
        <v>123456</v>
      </c>
      <c r="I147" s="39">
        <v>8123456</v>
      </c>
      <c r="J147" s="39" t="s">
        <v>70</v>
      </c>
      <c r="K147" s="40" t="s">
        <v>21</v>
      </c>
      <c r="L147" s="41" t="s">
        <v>71</v>
      </c>
      <c r="M147" s="87">
        <v>44620</v>
      </c>
      <c r="N147" s="37">
        <v>6.57</v>
      </c>
      <c r="O147" s="92"/>
      <c r="P147" s="92"/>
    </row>
    <row r="148" spans="2:17" ht="15.75" customHeight="1" x14ac:dyDescent="0.3">
      <c r="B148" s="28" t="s">
        <v>72</v>
      </c>
      <c r="C148" s="29" t="s">
        <v>73</v>
      </c>
      <c r="D148" s="29" t="s">
        <v>69</v>
      </c>
      <c r="E148" s="29" t="s">
        <v>132</v>
      </c>
      <c r="F148" s="30" t="s">
        <v>133</v>
      </c>
      <c r="G148" s="29" t="s">
        <v>74</v>
      </c>
      <c r="H148" s="29">
        <v>123456</v>
      </c>
      <c r="I148" s="29">
        <v>8123456</v>
      </c>
      <c r="J148" s="29" t="s">
        <v>70</v>
      </c>
      <c r="K148" s="30" t="s">
        <v>21</v>
      </c>
      <c r="L148" s="35"/>
      <c r="M148" s="31">
        <v>44651</v>
      </c>
      <c r="N148" s="32">
        <v>6.57</v>
      </c>
      <c r="O148" s="89"/>
      <c r="P148" s="89"/>
      <c r="Q148" s="43"/>
    </row>
    <row r="149" spans="2:17" ht="15.75" customHeight="1" x14ac:dyDescent="0.25">
      <c r="B149" s="38" t="s">
        <v>72</v>
      </c>
      <c r="C149" s="39" t="s">
        <v>73</v>
      </c>
      <c r="D149" s="39" t="s">
        <v>69</v>
      </c>
      <c r="E149" s="39" t="s">
        <v>132</v>
      </c>
      <c r="F149" s="40" t="s">
        <v>133</v>
      </c>
      <c r="G149" s="39" t="s">
        <v>74</v>
      </c>
      <c r="H149" s="39">
        <v>123456</v>
      </c>
      <c r="I149" s="39">
        <v>8123456</v>
      </c>
      <c r="J149" s="39" t="s">
        <v>70</v>
      </c>
      <c r="K149" s="40" t="s">
        <v>21</v>
      </c>
      <c r="L149" s="41"/>
      <c r="M149" s="87">
        <v>44681</v>
      </c>
      <c r="N149" s="37">
        <v>6.57</v>
      </c>
      <c r="O149" s="92"/>
      <c r="P149" s="92"/>
    </row>
    <row r="150" spans="2:17" ht="15.75" customHeight="1" x14ac:dyDescent="0.25">
      <c r="B150" s="28" t="s">
        <v>72</v>
      </c>
      <c r="C150" s="29" t="s">
        <v>73</v>
      </c>
      <c r="D150" s="29" t="s">
        <v>69</v>
      </c>
      <c r="E150" s="29" t="s">
        <v>132</v>
      </c>
      <c r="F150" s="30" t="s">
        <v>133</v>
      </c>
      <c r="G150" s="29" t="s">
        <v>74</v>
      </c>
      <c r="H150" s="29">
        <v>123456</v>
      </c>
      <c r="I150" s="29">
        <v>8123456</v>
      </c>
      <c r="J150" s="29" t="s">
        <v>70</v>
      </c>
      <c r="K150" s="30" t="s">
        <v>21</v>
      </c>
      <c r="L150" s="35"/>
      <c r="M150" s="31">
        <v>44712</v>
      </c>
      <c r="N150" s="32">
        <v>6.59</v>
      </c>
      <c r="O150" s="89"/>
      <c r="P150" s="89"/>
    </row>
    <row r="151" spans="2:17" ht="15.75" customHeight="1" x14ac:dyDescent="0.25">
      <c r="B151" s="38" t="s">
        <v>72</v>
      </c>
      <c r="C151" s="39" t="s">
        <v>73</v>
      </c>
      <c r="D151" s="39" t="s">
        <v>69</v>
      </c>
      <c r="E151" s="39" t="s">
        <v>132</v>
      </c>
      <c r="F151" s="40" t="s">
        <v>133</v>
      </c>
      <c r="G151" s="39" t="s">
        <v>74</v>
      </c>
      <c r="H151" s="39">
        <v>123456</v>
      </c>
      <c r="I151" s="39">
        <v>8123456</v>
      </c>
      <c r="J151" s="39" t="s">
        <v>70</v>
      </c>
      <c r="K151" s="40" t="s">
        <v>21</v>
      </c>
      <c r="L151" s="41"/>
      <c r="M151" s="87">
        <v>44742</v>
      </c>
      <c r="N151" s="37">
        <v>6.42</v>
      </c>
      <c r="O151" s="92"/>
      <c r="P151" s="92"/>
    </row>
    <row r="152" spans="2:17" ht="15.75" customHeight="1" x14ac:dyDescent="0.3">
      <c r="B152" s="28" t="s">
        <v>72</v>
      </c>
      <c r="C152" s="29" t="s">
        <v>73</v>
      </c>
      <c r="D152" s="29" t="s">
        <v>69</v>
      </c>
      <c r="E152" s="29" t="s">
        <v>132</v>
      </c>
      <c r="F152" s="30" t="s">
        <v>133</v>
      </c>
      <c r="G152" s="29" t="s">
        <v>74</v>
      </c>
      <c r="H152" s="29">
        <v>123456</v>
      </c>
      <c r="I152" s="29">
        <v>8123456</v>
      </c>
      <c r="J152" s="29" t="s">
        <v>70</v>
      </c>
      <c r="K152" s="30" t="s">
        <v>21</v>
      </c>
      <c r="L152" s="35"/>
      <c r="M152" s="31">
        <v>44773</v>
      </c>
      <c r="N152" s="32">
        <v>2.31</v>
      </c>
      <c r="O152" s="89"/>
      <c r="P152" s="89"/>
      <c r="Q152" s="43"/>
    </row>
    <row r="153" spans="2:17" ht="15.75" customHeight="1" x14ac:dyDescent="0.25">
      <c r="B153" s="38" t="s">
        <v>72</v>
      </c>
      <c r="C153" s="39" t="s">
        <v>73</v>
      </c>
      <c r="D153" s="39" t="s">
        <v>69</v>
      </c>
      <c r="E153" s="39" t="s">
        <v>132</v>
      </c>
      <c r="F153" s="40" t="s">
        <v>133</v>
      </c>
      <c r="G153" s="39" t="s">
        <v>74</v>
      </c>
      <c r="H153" s="39">
        <v>123456</v>
      </c>
      <c r="I153" s="39">
        <v>8123456</v>
      </c>
      <c r="J153" s="39" t="s">
        <v>70</v>
      </c>
      <c r="K153" s="40" t="s">
        <v>21</v>
      </c>
      <c r="L153" s="41"/>
      <c r="M153" s="87">
        <v>44803</v>
      </c>
      <c r="N153" s="37">
        <v>2.31</v>
      </c>
      <c r="O153" s="92"/>
      <c r="P153" s="92"/>
    </row>
    <row r="154" spans="2:17" ht="15.75" customHeight="1" x14ac:dyDescent="0.25">
      <c r="B154" s="28" t="s">
        <v>72</v>
      </c>
      <c r="C154" s="29" t="s">
        <v>73</v>
      </c>
      <c r="D154" s="29" t="s">
        <v>69</v>
      </c>
      <c r="E154" s="29" t="s">
        <v>132</v>
      </c>
      <c r="F154" s="30" t="s">
        <v>133</v>
      </c>
      <c r="G154" s="29" t="s">
        <v>74</v>
      </c>
      <c r="H154" s="29">
        <v>123456</v>
      </c>
      <c r="I154" s="29">
        <v>8123456</v>
      </c>
      <c r="J154" s="29" t="s">
        <v>70</v>
      </c>
      <c r="K154" s="30" t="s">
        <v>21</v>
      </c>
      <c r="L154" s="35"/>
      <c r="M154" s="31">
        <v>44834</v>
      </c>
      <c r="N154" s="32">
        <v>3.65</v>
      </c>
      <c r="O154" s="89"/>
      <c r="P154" s="89"/>
    </row>
    <row r="155" spans="2:17" ht="15.75" customHeight="1" x14ac:dyDescent="0.25">
      <c r="B155" s="38" t="s">
        <v>72</v>
      </c>
      <c r="C155" s="39" t="s">
        <v>73</v>
      </c>
      <c r="D155" s="39" t="s">
        <v>69</v>
      </c>
      <c r="E155" s="39" t="s">
        <v>132</v>
      </c>
      <c r="F155" s="40" t="s">
        <v>133</v>
      </c>
      <c r="G155" s="39" t="s">
        <v>74</v>
      </c>
      <c r="H155" s="39">
        <v>123456</v>
      </c>
      <c r="I155" s="39">
        <v>8123456</v>
      </c>
      <c r="J155" s="39" t="s">
        <v>70</v>
      </c>
      <c r="K155" s="40" t="s">
        <v>21</v>
      </c>
      <c r="L155" s="41"/>
      <c r="M155" s="87">
        <v>44865</v>
      </c>
      <c r="N155" s="37">
        <v>8.1</v>
      </c>
      <c r="O155" s="92"/>
      <c r="P155" s="92"/>
    </row>
    <row r="156" spans="2:17" ht="15.75" customHeight="1" x14ac:dyDescent="0.25">
      <c r="B156" s="28" t="s">
        <v>72</v>
      </c>
      <c r="C156" s="29" t="s">
        <v>73</v>
      </c>
      <c r="D156" s="29" t="s">
        <v>69</v>
      </c>
      <c r="E156" s="29" t="s">
        <v>132</v>
      </c>
      <c r="F156" s="30" t="s">
        <v>133</v>
      </c>
      <c r="G156" s="29" t="s">
        <v>74</v>
      </c>
      <c r="H156" s="29">
        <v>123456</v>
      </c>
      <c r="I156" s="29">
        <v>8123456</v>
      </c>
      <c r="J156" s="29" t="s">
        <v>70</v>
      </c>
      <c r="K156" s="30" t="s">
        <v>21</v>
      </c>
      <c r="L156" s="35"/>
      <c r="M156" s="31">
        <v>44895</v>
      </c>
      <c r="N156" s="32">
        <v>5.15</v>
      </c>
      <c r="O156" s="89"/>
      <c r="P156" s="90" t="s">
        <v>149</v>
      </c>
    </row>
    <row r="157" spans="2:17" ht="15.75" customHeight="1" x14ac:dyDescent="0.25">
      <c r="B157" s="83" t="s">
        <v>72</v>
      </c>
      <c r="C157" s="84" t="s">
        <v>73</v>
      </c>
      <c r="D157" s="84" t="s">
        <v>69</v>
      </c>
      <c r="E157" s="84" t="s">
        <v>132</v>
      </c>
      <c r="F157" s="85" t="s">
        <v>133</v>
      </c>
      <c r="G157" s="84" t="s">
        <v>74</v>
      </c>
      <c r="H157" s="84">
        <v>123456</v>
      </c>
      <c r="I157" s="84">
        <v>8123456</v>
      </c>
      <c r="J157" s="84" t="s">
        <v>70</v>
      </c>
      <c r="K157" s="85" t="s">
        <v>21</v>
      </c>
      <c r="L157" s="86"/>
      <c r="M157" s="87">
        <v>44926</v>
      </c>
      <c r="N157" s="82">
        <v>5.15</v>
      </c>
      <c r="O157" s="92"/>
      <c r="P157" s="91" t="s">
        <v>149</v>
      </c>
    </row>
    <row r="158" spans="2:17" ht="15.75" customHeight="1" x14ac:dyDescent="0.25">
      <c r="B158" s="28" t="s">
        <v>72</v>
      </c>
      <c r="C158" s="29" t="s">
        <v>131</v>
      </c>
      <c r="D158" s="29" t="s">
        <v>69</v>
      </c>
      <c r="E158" s="29" t="s">
        <v>132</v>
      </c>
      <c r="F158" s="30" t="s">
        <v>133</v>
      </c>
      <c r="G158" s="29" t="s">
        <v>74</v>
      </c>
      <c r="H158" s="29">
        <v>123456</v>
      </c>
      <c r="I158" s="29">
        <v>8123456</v>
      </c>
      <c r="J158" s="29" t="s">
        <v>70</v>
      </c>
      <c r="K158" s="30" t="s">
        <v>21</v>
      </c>
      <c r="L158" s="35" t="s">
        <v>71</v>
      </c>
      <c r="M158" s="31">
        <v>44957</v>
      </c>
      <c r="N158" s="32">
        <v>6.57</v>
      </c>
      <c r="O158" s="89"/>
      <c r="P158" s="89"/>
    </row>
    <row r="159" spans="2:17" ht="15.75" customHeight="1" x14ac:dyDescent="0.25">
      <c r="B159" s="38" t="s">
        <v>72</v>
      </c>
      <c r="C159" s="39" t="s">
        <v>131</v>
      </c>
      <c r="D159" s="39" t="s">
        <v>69</v>
      </c>
      <c r="E159" s="39" t="s">
        <v>132</v>
      </c>
      <c r="F159" s="40" t="s">
        <v>133</v>
      </c>
      <c r="G159" s="39" t="s">
        <v>74</v>
      </c>
      <c r="H159" s="39">
        <v>123456</v>
      </c>
      <c r="I159" s="39">
        <v>8123456</v>
      </c>
      <c r="J159" s="39" t="s">
        <v>70</v>
      </c>
      <c r="K159" s="40" t="s">
        <v>21</v>
      </c>
      <c r="L159" s="41" t="s">
        <v>71</v>
      </c>
      <c r="M159" s="42">
        <v>44985</v>
      </c>
      <c r="N159" s="37">
        <v>6.57</v>
      </c>
      <c r="O159" s="92"/>
      <c r="P159" s="92"/>
    </row>
    <row r="160" spans="2:17" ht="15.75" customHeight="1" x14ac:dyDescent="0.3">
      <c r="B160" s="28" t="s">
        <v>72</v>
      </c>
      <c r="C160" s="29" t="s">
        <v>73</v>
      </c>
      <c r="D160" s="29" t="s">
        <v>69</v>
      </c>
      <c r="E160" s="29" t="s">
        <v>132</v>
      </c>
      <c r="F160" s="30" t="s">
        <v>133</v>
      </c>
      <c r="G160" s="29" t="s">
        <v>74</v>
      </c>
      <c r="H160" s="29">
        <v>123456</v>
      </c>
      <c r="I160" s="29">
        <v>8123456</v>
      </c>
      <c r="J160" s="29" t="s">
        <v>70</v>
      </c>
      <c r="K160" s="30" t="s">
        <v>21</v>
      </c>
      <c r="L160" s="35"/>
      <c r="M160" s="31">
        <v>45016</v>
      </c>
      <c r="N160" s="32">
        <v>6.57</v>
      </c>
      <c r="O160" s="89"/>
      <c r="P160" s="89"/>
      <c r="Q160" s="43"/>
    </row>
    <row r="161" spans="2:17" ht="15.75" customHeight="1" x14ac:dyDescent="0.25">
      <c r="B161" s="38" t="s">
        <v>72</v>
      </c>
      <c r="C161" s="39" t="s">
        <v>73</v>
      </c>
      <c r="D161" s="39" t="s">
        <v>69</v>
      </c>
      <c r="E161" s="39" t="s">
        <v>132</v>
      </c>
      <c r="F161" s="40" t="s">
        <v>133</v>
      </c>
      <c r="G161" s="39" t="s">
        <v>74</v>
      </c>
      <c r="H161" s="39">
        <v>123456</v>
      </c>
      <c r="I161" s="39">
        <v>8123456</v>
      </c>
      <c r="J161" s="39" t="s">
        <v>70</v>
      </c>
      <c r="K161" s="40" t="s">
        <v>21</v>
      </c>
      <c r="L161" s="41"/>
      <c r="M161" s="42">
        <v>45046</v>
      </c>
      <c r="N161" s="37">
        <v>6.57</v>
      </c>
      <c r="O161" s="92"/>
      <c r="P161" s="92"/>
    </row>
    <row r="162" spans="2:17" ht="15.75" customHeight="1" x14ac:dyDescent="0.25">
      <c r="B162" s="28" t="s">
        <v>72</v>
      </c>
      <c r="C162" s="29" t="s">
        <v>73</v>
      </c>
      <c r="D162" s="29" t="s">
        <v>69</v>
      </c>
      <c r="E162" s="29" t="s">
        <v>132</v>
      </c>
      <c r="F162" s="30" t="s">
        <v>133</v>
      </c>
      <c r="G162" s="29" t="s">
        <v>74</v>
      </c>
      <c r="H162" s="29">
        <v>123456</v>
      </c>
      <c r="I162" s="29">
        <v>8123456</v>
      </c>
      <c r="J162" s="29" t="s">
        <v>70</v>
      </c>
      <c r="K162" s="30" t="s">
        <v>21</v>
      </c>
      <c r="L162" s="35"/>
      <c r="M162" s="31">
        <v>45077</v>
      </c>
      <c r="N162" s="32">
        <v>6.59</v>
      </c>
      <c r="O162" s="89"/>
      <c r="P162" s="89"/>
    </row>
    <row r="163" spans="2:17" ht="15.75" customHeight="1" x14ac:dyDescent="0.25">
      <c r="B163" s="38" t="s">
        <v>72</v>
      </c>
      <c r="C163" s="39" t="s">
        <v>73</v>
      </c>
      <c r="D163" s="39" t="s">
        <v>69</v>
      </c>
      <c r="E163" s="39" t="s">
        <v>132</v>
      </c>
      <c r="F163" s="40" t="s">
        <v>133</v>
      </c>
      <c r="G163" s="39" t="s">
        <v>74</v>
      </c>
      <c r="H163" s="39">
        <v>123456</v>
      </c>
      <c r="I163" s="39">
        <v>8123456</v>
      </c>
      <c r="J163" s="39" t="s">
        <v>70</v>
      </c>
      <c r="K163" s="40" t="s">
        <v>21</v>
      </c>
      <c r="L163" s="41"/>
      <c r="M163" s="42">
        <v>45107</v>
      </c>
      <c r="N163" s="37">
        <v>6.42</v>
      </c>
      <c r="O163" s="92"/>
      <c r="P163" s="92"/>
    </row>
    <row r="164" spans="2:17" ht="15.75" customHeight="1" x14ac:dyDescent="0.3">
      <c r="B164" s="28" t="s">
        <v>72</v>
      </c>
      <c r="C164" s="29" t="s">
        <v>73</v>
      </c>
      <c r="D164" s="29" t="s">
        <v>69</v>
      </c>
      <c r="E164" s="29" t="s">
        <v>132</v>
      </c>
      <c r="F164" s="30" t="s">
        <v>133</v>
      </c>
      <c r="G164" s="29" t="s">
        <v>74</v>
      </c>
      <c r="H164" s="29">
        <v>123456</v>
      </c>
      <c r="I164" s="29">
        <v>8123456</v>
      </c>
      <c r="J164" s="29" t="s">
        <v>70</v>
      </c>
      <c r="K164" s="30" t="s">
        <v>21</v>
      </c>
      <c r="L164" s="35"/>
      <c r="M164" s="31">
        <v>45138</v>
      </c>
      <c r="N164" s="32">
        <v>2.31</v>
      </c>
      <c r="O164" s="89"/>
      <c r="P164" s="89"/>
      <c r="Q164" s="43"/>
    </row>
    <row r="165" spans="2:17" ht="15.75" customHeight="1" x14ac:dyDescent="0.25">
      <c r="B165" s="38" t="s">
        <v>72</v>
      </c>
      <c r="C165" s="39" t="s">
        <v>73</v>
      </c>
      <c r="D165" s="39" t="s">
        <v>69</v>
      </c>
      <c r="E165" s="39" t="s">
        <v>132</v>
      </c>
      <c r="F165" s="40" t="s">
        <v>133</v>
      </c>
      <c r="G165" s="39" t="s">
        <v>74</v>
      </c>
      <c r="H165" s="39">
        <v>123456</v>
      </c>
      <c r="I165" s="39">
        <v>8123456</v>
      </c>
      <c r="J165" s="39" t="s">
        <v>70</v>
      </c>
      <c r="K165" s="40" t="s">
        <v>21</v>
      </c>
      <c r="L165" s="41"/>
      <c r="M165" s="42">
        <v>45169</v>
      </c>
      <c r="N165" s="37">
        <v>2.31</v>
      </c>
      <c r="O165" s="92"/>
      <c r="P165" s="92"/>
    </row>
    <row r="166" spans="2:17" ht="15.75" customHeight="1" x14ac:dyDescent="0.25">
      <c r="B166" s="28" t="s">
        <v>72</v>
      </c>
      <c r="C166" s="29" t="s">
        <v>73</v>
      </c>
      <c r="D166" s="29" t="s">
        <v>69</v>
      </c>
      <c r="E166" s="29" t="s">
        <v>132</v>
      </c>
      <c r="F166" s="30" t="s">
        <v>133</v>
      </c>
      <c r="G166" s="29" t="s">
        <v>74</v>
      </c>
      <c r="H166" s="29">
        <v>123456</v>
      </c>
      <c r="I166" s="29">
        <v>8123456</v>
      </c>
      <c r="J166" s="29" t="s">
        <v>70</v>
      </c>
      <c r="K166" s="30" t="s">
        <v>21</v>
      </c>
      <c r="L166" s="35"/>
      <c r="M166" s="31">
        <v>45199</v>
      </c>
      <c r="N166" s="32">
        <v>3.65</v>
      </c>
      <c r="O166" s="89"/>
      <c r="P166" s="89"/>
    </row>
    <row r="167" spans="2:17" ht="15.75" customHeight="1" x14ac:dyDescent="0.25">
      <c r="B167" s="38" t="s">
        <v>72</v>
      </c>
      <c r="C167" s="39" t="s">
        <v>73</v>
      </c>
      <c r="D167" s="39" t="s">
        <v>69</v>
      </c>
      <c r="E167" s="39" t="s">
        <v>132</v>
      </c>
      <c r="F167" s="40" t="s">
        <v>133</v>
      </c>
      <c r="G167" s="39" t="s">
        <v>74</v>
      </c>
      <c r="H167" s="39">
        <v>123456</v>
      </c>
      <c r="I167" s="39">
        <v>8123456</v>
      </c>
      <c r="J167" s="39" t="s">
        <v>70</v>
      </c>
      <c r="K167" s="40" t="s">
        <v>21</v>
      </c>
      <c r="L167" s="41"/>
      <c r="M167" s="42">
        <v>45230</v>
      </c>
      <c r="N167" s="37">
        <v>8.1</v>
      </c>
      <c r="O167" s="92"/>
      <c r="P167" s="92"/>
    </row>
    <row r="168" spans="2:17" ht="15.75" customHeight="1" x14ac:dyDescent="0.25">
      <c r="B168" s="28" t="s">
        <v>72</v>
      </c>
      <c r="C168" s="29" t="s">
        <v>73</v>
      </c>
      <c r="D168" s="29" t="s">
        <v>69</v>
      </c>
      <c r="E168" s="29" t="s">
        <v>132</v>
      </c>
      <c r="F168" s="30" t="s">
        <v>133</v>
      </c>
      <c r="G168" s="29" t="s">
        <v>74</v>
      </c>
      <c r="H168" s="29">
        <v>123456</v>
      </c>
      <c r="I168" s="29">
        <v>8123456</v>
      </c>
      <c r="J168" s="29" t="s">
        <v>70</v>
      </c>
      <c r="K168" s="30" t="s">
        <v>21</v>
      </c>
      <c r="L168" s="35"/>
      <c r="M168" s="31">
        <v>45260</v>
      </c>
      <c r="N168" s="32">
        <v>5.15</v>
      </c>
      <c r="O168" s="89"/>
      <c r="P168" s="90" t="s">
        <v>149</v>
      </c>
    </row>
    <row r="169" spans="2:17" ht="15.75" customHeight="1" x14ac:dyDescent="0.25">
      <c r="B169" s="83" t="s">
        <v>72</v>
      </c>
      <c r="C169" s="84" t="s">
        <v>73</v>
      </c>
      <c r="D169" s="84" t="s">
        <v>69</v>
      </c>
      <c r="E169" s="84" t="s">
        <v>132</v>
      </c>
      <c r="F169" s="85" t="s">
        <v>133</v>
      </c>
      <c r="G169" s="84" t="s">
        <v>74</v>
      </c>
      <c r="H169" s="84">
        <v>123456</v>
      </c>
      <c r="I169" s="84">
        <v>8123456</v>
      </c>
      <c r="J169" s="84" t="s">
        <v>70</v>
      </c>
      <c r="K169" s="85" t="s">
        <v>21</v>
      </c>
      <c r="L169" s="86"/>
      <c r="M169" s="87">
        <v>45291</v>
      </c>
      <c r="N169" s="82">
        <v>5.15</v>
      </c>
      <c r="O169" s="92"/>
      <c r="P169" s="91" t="s">
        <v>149</v>
      </c>
    </row>
    <row r="170" spans="2:17" ht="15.75" customHeight="1" x14ac:dyDescent="0.25">
      <c r="B170" s="28" t="s">
        <v>92</v>
      </c>
      <c r="C170" s="29" t="s">
        <v>134</v>
      </c>
      <c r="D170" s="29" t="s">
        <v>69</v>
      </c>
      <c r="E170" s="29" t="s">
        <v>135</v>
      </c>
      <c r="F170" s="30" t="s">
        <v>136</v>
      </c>
      <c r="G170" s="29" t="s">
        <v>74</v>
      </c>
      <c r="H170" s="29">
        <v>123456</v>
      </c>
      <c r="I170" s="29">
        <v>8123456</v>
      </c>
      <c r="J170" s="29" t="s">
        <v>70</v>
      </c>
      <c r="K170" s="30" t="s">
        <v>137</v>
      </c>
      <c r="L170" s="35" t="s">
        <v>71</v>
      </c>
      <c r="M170" s="31">
        <v>44577</v>
      </c>
      <c r="N170" s="32">
        <f>-71.5*25</f>
        <v>-1787.5</v>
      </c>
      <c r="O170" s="89"/>
      <c r="P170" s="90"/>
    </row>
    <row r="171" spans="2:17" ht="15.75" customHeight="1" x14ac:dyDescent="0.25">
      <c r="B171" s="83" t="s">
        <v>92</v>
      </c>
      <c r="C171" s="84" t="s">
        <v>134</v>
      </c>
      <c r="D171" s="84" t="s">
        <v>69</v>
      </c>
      <c r="E171" s="84" t="s">
        <v>135</v>
      </c>
      <c r="F171" s="85" t="s">
        <v>136</v>
      </c>
      <c r="G171" s="84" t="s">
        <v>74</v>
      </c>
      <c r="H171" s="84">
        <v>123456</v>
      </c>
      <c r="I171" s="84">
        <v>8123456</v>
      </c>
      <c r="J171" s="84" t="s">
        <v>70</v>
      </c>
      <c r="K171" s="85" t="s">
        <v>137</v>
      </c>
      <c r="L171" s="86" t="s">
        <v>71</v>
      </c>
      <c r="M171" s="87">
        <v>44588</v>
      </c>
      <c r="N171" s="82">
        <f>-71.5*30</f>
        <v>-2145</v>
      </c>
      <c r="O171" s="92"/>
      <c r="P171" s="91"/>
    </row>
    <row r="172" spans="2:17" ht="15.75" customHeight="1" x14ac:dyDescent="0.25">
      <c r="B172" s="28" t="s">
        <v>92</v>
      </c>
      <c r="C172" s="29" t="s">
        <v>134</v>
      </c>
      <c r="D172" s="29" t="s">
        <v>69</v>
      </c>
      <c r="E172" s="29" t="s">
        <v>135</v>
      </c>
      <c r="F172" s="30" t="s">
        <v>136</v>
      </c>
      <c r="G172" s="29" t="s">
        <v>74</v>
      </c>
      <c r="H172" s="29">
        <v>123456</v>
      </c>
      <c r="I172" s="29">
        <v>8123456</v>
      </c>
      <c r="J172" s="29" t="s">
        <v>70</v>
      </c>
      <c r="K172" s="30" t="s">
        <v>137</v>
      </c>
      <c r="L172" s="35" t="s">
        <v>71</v>
      </c>
      <c r="M172" s="31">
        <v>44616</v>
      </c>
      <c r="N172" s="32">
        <f>-71.5*54</f>
        <v>-3861</v>
      </c>
      <c r="O172" s="89"/>
      <c r="P172" s="90"/>
    </row>
    <row r="173" spans="2:17" ht="15.75" customHeight="1" x14ac:dyDescent="0.25">
      <c r="B173" s="83" t="s">
        <v>92</v>
      </c>
      <c r="C173" s="84" t="s">
        <v>134</v>
      </c>
      <c r="D173" s="84" t="s">
        <v>69</v>
      </c>
      <c r="E173" s="84" t="s">
        <v>135</v>
      </c>
      <c r="F173" s="85" t="s">
        <v>136</v>
      </c>
      <c r="G173" s="84" t="s">
        <v>74</v>
      </c>
      <c r="H173" s="84">
        <v>123456</v>
      </c>
      <c r="I173" s="84">
        <v>8123456</v>
      </c>
      <c r="J173" s="84" t="s">
        <v>70</v>
      </c>
      <c r="K173" s="85" t="s">
        <v>136</v>
      </c>
      <c r="L173" s="86" t="s">
        <v>71</v>
      </c>
      <c r="M173" s="87">
        <v>44651</v>
      </c>
      <c r="N173" s="82">
        <f>-71.5*19</f>
        <v>-1358.5</v>
      </c>
      <c r="O173" s="92"/>
      <c r="P173" s="91"/>
    </row>
    <row r="174" spans="2:17" ht="15.75" customHeight="1" x14ac:dyDescent="0.25">
      <c r="B174" s="28" t="s">
        <v>92</v>
      </c>
      <c r="C174" s="29" t="s">
        <v>134</v>
      </c>
      <c r="D174" s="29" t="s">
        <v>69</v>
      </c>
      <c r="E174" s="29" t="s">
        <v>135</v>
      </c>
      <c r="F174" s="30" t="s">
        <v>136</v>
      </c>
      <c r="G174" s="29" t="s">
        <v>74</v>
      </c>
      <c r="H174" s="29">
        <v>123456</v>
      </c>
      <c r="I174" s="29">
        <v>8123456</v>
      </c>
      <c r="J174" s="29" t="s">
        <v>70</v>
      </c>
      <c r="K174" s="30" t="s">
        <v>136</v>
      </c>
      <c r="L174" s="35" t="s">
        <v>71</v>
      </c>
      <c r="M174" s="31">
        <v>44680</v>
      </c>
      <c r="N174" s="32">
        <f>-71.5*17</f>
        <v>-1215.5</v>
      </c>
      <c r="O174" s="89"/>
      <c r="P174" s="90"/>
    </row>
    <row r="175" spans="2:17" ht="15.75" customHeight="1" x14ac:dyDescent="0.25">
      <c r="B175" s="83" t="s">
        <v>92</v>
      </c>
      <c r="C175" s="84" t="s">
        <v>134</v>
      </c>
      <c r="D175" s="84" t="s">
        <v>69</v>
      </c>
      <c r="E175" s="84" t="s">
        <v>135</v>
      </c>
      <c r="F175" s="85" t="s">
        <v>136</v>
      </c>
      <c r="G175" s="84" t="s">
        <v>74</v>
      </c>
      <c r="H175" s="84">
        <v>123456</v>
      </c>
      <c r="I175" s="84">
        <v>8123456</v>
      </c>
      <c r="J175" s="84" t="s">
        <v>70</v>
      </c>
      <c r="K175" s="85" t="s">
        <v>136</v>
      </c>
      <c r="L175" s="86" t="s">
        <v>71</v>
      </c>
      <c r="M175" s="87">
        <v>44711</v>
      </c>
      <c r="N175" s="82">
        <f>-71.5*27</f>
        <v>-1930.5</v>
      </c>
      <c r="O175" s="92"/>
      <c r="P175" s="91"/>
    </row>
    <row r="176" spans="2:17" ht="15.75" customHeight="1" x14ac:dyDescent="0.25">
      <c r="B176" s="28" t="s">
        <v>92</v>
      </c>
      <c r="C176" s="29" t="s">
        <v>134</v>
      </c>
      <c r="D176" s="29" t="s">
        <v>69</v>
      </c>
      <c r="E176" s="29" t="s">
        <v>135</v>
      </c>
      <c r="F176" s="30" t="s">
        <v>136</v>
      </c>
      <c r="G176" s="29" t="s">
        <v>74</v>
      </c>
      <c r="H176" s="29">
        <v>123456</v>
      </c>
      <c r="I176" s="29">
        <v>8123456</v>
      </c>
      <c r="J176" s="29" t="s">
        <v>70</v>
      </c>
      <c r="K176" s="30" t="s">
        <v>136</v>
      </c>
      <c r="L176" s="35" t="s">
        <v>71</v>
      </c>
      <c r="M176" s="31">
        <v>44737</v>
      </c>
      <c r="N176" s="32">
        <f>-71.5*48</f>
        <v>-3432</v>
      </c>
      <c r="O176" s="89"/>
      <c r="P176" s="90"/>
    </row>
    <row r="177" spans="2:17" ht="15.75" customHeight="1" x14ac:dyDescent="0.25">
      <c r="B177" s="83" t="s">
        <v>92</v>
      </c>
      <c r="C177" s="84" t="s">
        <v>134</v>
      </c>
      <c r="D177" s="84" t="s">
        <v>69</v>
      </c>
      <c r="E177" s="84" t="s">
        <v>135</v>
      </c>
      <c r="F177" s="85" t="s">
        <v>136</v>
      </c>
      <c r="G177" s="84" t="s">
        <v>74</v>
      </c>
      <c r="H177" s="84">
        <v>123456</v>
      </c>
      <c r="I177" s="84">
        <v>8123456</v>
      </c>
      <c r="J177" s="84" t="s">
        <v>70</v>
      </c>
      <c r="K177" s="85" t="s">
        <v>245</v>
      </c>
      <c r="L177" s="86" t="s">
        <v>71</v>
      </c>
      <c r="M177" s="87">
        <v>44786</v>
      </c>
      <c r="N177" s="82">
        <f>-71.5*13</f>
        <v>-929.5</v>
      </c>
      <c r="O177" s="92"/>
      <c r="P177" s="91"/>
    </row>
    <row r="178" spans="2:17" ht="15.75" customHeight="1" x14ac:dyDescent="0.25">
      <c r="B178" s="28" t="s">
        <v>92</v>
      </c>
      <c r="C178" s="29" t="s">
        <v>134</v>
      </c>
      <c r="D178" s="29" t="s">
        <v>69</v>
      </c>
      <c r="E178" s="29" t="s">
        <v>135</v>
      </c>
      <c r="F178" s="30" t="s">
        <v>136</v>
      </c>
      <c r="G178" s="29" t="s">
        <v>74</v>
      </c>
      <c r="H178" s="29">
        <v>123456</v>
      </c>
      <c r="I178" s="29">
        <v>8123456</v>
      </c>
      <c r="J178" s="29" t="s">
        <v>70</v>
      </c>
      <c r="K178" s="30" t="s">
        <v>246</v>
      </c>
      <c r="L178" s="35" t="s">
        <v>71</v>
      </c>
      <c r="M178" s="31">
        <v>44815</v>
      </c>
      <c r="N178" s="32">
        <f>-71.5*22</f>
        <v>-1573</v>
      </c>
      <c r="O178" s="89"/>
      <c r="P178" s="90"/>
    </row>
    <row r="179" spans="2:17" ht="15.75" customHeight="1" x14ac:dyDescent="0.25">
      <c r="B179" s="83" t="s">
        <v>92</v>
      </c>
      <c r="C179" s="84" t="s">
        <v>134</v>
      </c>
      <c r="D179" s="84" t="s">
        <v>69</v>
      </c>
      <c r="E179" s="84" t="s">
        <v>135</v>
      </c>
      <c r="F179" s="85" t="s">
        <v>136</v>
      </c>
      <c r="G179" s="84" t="s">
        <v>74</v>
      </c>
      <c r="H179" s="84">
        <v>123456</v>
      </c>
      <c r="I179" s="84">
        <v>8123456</v>
      </c>
      <c r="J179" s="84" t="s">
        <v>70</v>
      </c>
      <c r="K179" s="85" t="s">
        <v>247</v>
      </c>
      <c r="L179" s="86" t="s">
        <v>71</v>
      </c>
      <c r="M179" s="87">
        <v>44834</v>
      </c>
      <c r="N179" s="82">
        <f>-71.5*40</f>
        <v>-2860</v>
      </c>
      <c r="O179" s="92"/>
      <c r="P179" s="91"/>
    </row>
    <row r="180" spans="2:17" ht="15.75" customHeight="1" x14ac:dyDescent="0.25">
      <c r="B180" s="28" t="s">
        <v>92</v>
      </c>
      <c r="C180" s="29" t="s">
        <v>134</v>
      </c>
      <c r="D180" s="29" t="s">
        <v>69</v>
      </c>
      <c r="E180" s="29" t="s">
        <v>135</v>
      </c>
      <c r="F180" s="30" t="s">
        <v>136</v>
      </c>
      <c r="G180" s="29" t="s">
        <v>74</v>
      </c>
      <c r="H180" s="29">
        <v>123456</v>
      </c>
      <c r="I180" s="29">
        <v>8123456</v>
      </c>
      <c r="J180" s="29" t="s">
        <v>70</v>
      </c>
      <c r="K180" s="30" t="s">
        <v>137</v>
      </c>
      <c r="L180" s="35" t="s">
        <v>71</v>
      </c>
      <c r="M180" s="31">
        <v>44942</v>
      </c>
      <c r="N180" s="32">
        <f>-71.5*42</f>
        <v>-3003</v>
      </c>
      <c r="O180" s="89"/>
      <c r="P180" s="90"/>
    </row>
    <row r="181" spans="2:17" ht="15.75" customHeight="1" x14ac:dyDescent="0.25">
      <c r="B181" s="83" t="s">
        <v>92</v>
      </c>
      <c r="C181" s="84" t="s">
        <v>134</v>
      </c>
      <c r="D181" s="84" t="s">
        <v>69</v>
      </c>
      <c r="E181" s="84" t="s">
        <v>135</v>
      </c>
      <c r="F181" s="85" t="s">
        <v>136</v>
      </c>
      <c r="G181" s="84" t="s">
        <v>74</v>
      </c>
      <c r="H181" s="84">
        <v>123456</v>
      </c>
      <c r="I181" s="84">
        <v>8123456</v>
      </c>
      <c r="J181" s="84" t="s">
        <v>70</v>
      </c>
      <c r="K181" s="85" t="s">
        <v>137</v>
      </c>
      <c r="L181" s="86" t="s">
        <v>71</v>
      </c>
      <c r="M181" s="87">
        <v>44953</v>
      </c>
      <c r="N181" s="82">
        <f>-71.5*45</f>
        <v>-3217.5</v>
      </c>
      <c r="O181" s="92"/>
      <c r="P181" s="91"/>
    </row>
    <row r="182" spans="2:17" ht="15.75" customHeight="1" x14ac:dyDescent="0.25">
      <c r="B182" s="28" t="s">
        <v>92</v>
      </c>
      <c r="C182" s="29" t="s">
        <v>134</v>
      </c>
      <c r="D182" s="29" t="s">
        <v>69</v>
      </c>
      <c r="E182" s="29" t="s">
        <v>135</v>
      </c>
      <c r="F182" s="30" t="s">
        <v>136</v>
      </c>
      <c r="G182" s="29" t="s">
        <v>74</v>
      </c>
      <c r="H182" s="29">
        <v>123456</v>
      </c>
      <c r="I182" s="29">
        <v>8123456</v>
      </c>
      <c r="J182" s="29" t="s">
        <v>70</v>
      </c>
      <c r="K182" s="30" t="s">
        <v>137</v>
      </c>
      <c r="L182" s="35" t="s">
        <v>71</v>
      </c>
      <c r="M182" s="31">
        <v>44981</v>
      </c>
      <c r="N182" s="32">
        <f>-71.5*42</f>
        <v>-3003</v>
      </c>
      <c r="O182" s="89"/>
      <c r="P182" s="90"/>
    </row>
    <row r="183" spans="2:17" ht="15.75" customHeight="1" x14ac:dyDescent="0.25">
      <c r="B183" s="83" t="s">
        <v>92</v>
      </c>
      <c r="C183" s="84" t="s">
        <v>134</v>
      </c>
      <c r="D183" s="84" t="s">
        <v>69</v>
      </c>
      <c r="E183" s="84" t="s">
        <v>135</v>
      </c>
      <c r="F183" s="85" t="s">
        <v>136</v>
      </c>
      <c r="G183" s="84" t="s">
        <v>74</v>
      </c>
      <c r="H183" s="84">
        <v>123456</v>
      </c>
      <c r="I183" s="84">
        <v>8123456</v>
      </c>
      <c r="J183" s="84" t="s">
        <v>70</v>
      </c>
      <c r="K183" s="85" t="s">
        <v>136</v>
      </c>
      <c r="L183" s="86" t="s">
        <v>71</v>
      </c>
      <c r="M183" s="87">
        <v>45016</v>
      </c>
      <c r="N183" s="82">
        <f>-71.5*32</f>
        <v>-2288</v>
      </c>
      <c r="O183" s="92"/>
      <c r="P183" s="91"/>
    </row>
    <row r="184" spans="2:17" ht="15.75" customHeight="1" x14ac:dyDescent="0.25">
      <c r="B184" s="28" t="s">
        <v>92</v>
      </c>
      <c r="C184" s="29" t="s">
        <v>134</v>
      </c>
      <c r="D184" s="29" t="s">
        <v>69</v>
      </c>
      <c r="E184" s="29" t="s">
        <v>135</v>
      </c>
      <c r="F184" s="30" t="s">
        <v>136</v>
      </c>
      <c r="G184" s="29" t="s">
        <v>74</v>
      </c>
      <c r="H184" s="29">
        <v>123456</v>
      </c>
      <c r="I184" s="29">
        <v>8123456</v>
      </c>
      <c r="J184" s="29" t="s">
        <v>70</v>
      </c>
      <c r="K184" s="30" t="s">
        <v>136</v>
      </c>
      <c r="L184" s="35" t="s">
        <v>71</v>
      </c>
      <c r="M184" s="31">
        <v>45045</v>
      </c>
      <c r="N184" s="32">
        <f>-71.5*42</f>
        <v>-3003</v>
      </c>
      <c r="O184" s="89"/>
      <c r="P184" s="90"/>
    </row>
    <row r="185" spans="2:17" ht="15.75" customHeight="1" x14ac:dyDescent="0.25">
      <c r="B185" s="83" t="s">
        <v>92</v>
      </c>
      <c r="C185" s="84" t="s">
        <v>134</v>
      </c>
      <c r="D185" s="84" t="s">
        <v>69</v>
      </c>
      <c r="E185" s="84" t="s">
        <v>135</v>
      </c>
      <c r="F185" s="85" t="s">
        <v>136</v>
      </c>
      <c r="G185" s="84" t="s">
        <v>74</v>
      </c>
      <c r="H185" s="84">
        <v>123456</v>
      </c>
      <c r="I185" s="84">
        <v>8123456</v>
      </c>
      <c r="J185" s="84" t="s">
        <v>70</v>
      </c>
      <c r="K185" s="85" t="s">
        <v>136</v>
      </c>
      <c r="L185" s="86" t="s">
        <v>71</v>
      </c>
      <c r="M185" s="87">
        <v>45076</v>
      </c>
      <c r="N185" s="82">
        <f>-71.5*34</f>
        <v>-2431</v>
      </c>
      <c r="O185" s="92"/>
      <c r="P185" s="91"/>
    </row>
    <row r="186" spans="2:17" ht="15.75" customHeight="1" x14ac:dyDescent="0.25">
      <c r="B186" s="28" t="s">
        <v>92</v>
      </c>
      <c r="C186" s="29" t="s">
        <v>134</v>
      </c>
      <c r="D186" s="29" t="s">
        <v>69</v>
      </c>
      <c r="E186" s="29" t="s">
        <v>135</v>
      </c>
      <c r="F186" s="30" t="s">
        <v>136</v>
      </c>
      <c r="G186" s="29" t="s">
        <v>74</v>
      </c>
      <c r="H186" s="29">
        <v>123456</v>
      </c>
      <c r="I186" s="29">
        <v>8123456</v>
      </c>
      <c r="J186" s="29" t="s">
        <v>70</v>
      </c>
      <c r="K186" s="30" t="s">
        <v>136</v>
      </c>
      <c r="L186" s="35" t="s">
        <v>71</v>
      </c>
      <c r="M186" s="31">
        <v>45102</v>
      </c>
      <c r="N186" s="32">
        <f>-71.5*37</f>
        <v>-2645.5</v>
      </c>
      <c r="O186" s="89"/>
      <c r="P186" s="90"/>
    </row>
    <row r="187" spans="2:17" ht="15.75" customHeight="1" x14ac:dyDescent="0.25">
      <c r="B187" s="83" t="s">
        <v>92</v>
      </c>
      <c r="C187" s="84" t="s">
        <v>134</v>
      </c>
      <c r="D187" s="84" t="s">
        <v>69</v>
      </c>
      <c r="E187" s="84" t="s">
        <v>135</v>
      </c>
      <c r="F187" s="85" t="s">
        <v>136</v>
      </c>
      <c r="G187" s="84" t="s">
        <v>74</v>
      </c>
      <c r="H187" s="84">
        <v>123456</v>
      </c>
      <c r="I187" s="84">
        <v>8123456</v>
      </c>
      <c r="J187" s="84" t="s">
        <v>70</v>
      </c>
      <c r="K187" s="85" t="s">
        <v>240</v>
      </c>
      <c r="L187" s="86" t="s">
        <v>71</v>
      </c>
      <c r="M187" s="87">
        <v>45151</v>
      </c>
      <c r="N187" s="82">
        <f>-71.5*32</f>
        <v>-2288</v>
      </c>
      <c r="O187" s="92"/>
      <c r="P187" s="91"/>
    </row>
    <row r="188" spans="2:17" ht="15.75" customHeight="1" x14ac:dyDescent="0.25">
      <c r="B188" s="28" t="s">
        <v>92</v>
      </c>
      <c r="C188" s="29" t="s">
        <v>134</v>
      </c>
      <c r="D188" s="29" t="s">
        <v>69</v>
      </c>
      <c r="E188" s="29" t="s">
        <v>135</v>
      </c>
      <c r="F188" s="30" t="s">
        <v>136</v>
      </c>
      <c r="G188" s="29" t="s">
        <v>74</v>
      </c>
      <c r="H188" s="29">
        <v>123456</v>
      </c>
      <c r="I188" s="29">
        <v>8123456</v>
      </c>
      <c r="J188" s="29" t="s">
        <v>70</v>
      </c>
      <c r="K188" s="30" t="s">
        <v>241</v>
      </c>
      <c r="L188" s="35" t="s">
        <v>71</v>
      </c>
      <c r="M188" s="31">
        <v>45180</v>
      </c>
      <c r="N188" s="32">
        <f>-71.5*43</f>
        <v>-3074.5</v>
      </c>
      <c r="O188" s="89"/>
      <c r="P188" s="90"/>
    </row>
    <row r="189" spans="2:17" ht="15.75" customHeight="1" x14ac:dyDescent="0.25">
      <c r="B189" s="83" t="s">
        <v>92</v>
      </c>
      <c r="C189" s="84" t="s">
        <v>134</v>
      </c>
      <c r="D189" s="84" t="s">
        <v>69</v>
      </c>
      <c r="E189" s="84" t="s">
        <v>135</v>
      </c>
      <c r="F189" s="85" t="s">
        <v>136</v>
      </c>
      <c r="G189" s="84" t="s">
        <v>74</v>
      </c>
      <c r="H189" s="84">
        <v>123456</v>
      </c>
      <c r="I189" s="84">
        <v>8123456</v>
      </c>
      <c r="J189" s="84" t="s">
        <v>70</v>
      </c>
      <c r="K189" s="85" t="s">
        <v>242</v>
      </c>
      <c r="L189" s="86" t="s">
        <v>71</v>
      </c>
      <c r="M189" s="87">
        <v>45199</v>
      </c>
      <c r="N189" s="82">
        <f>-71.5*40</f>
        <v>-2860</v>
      </c>
      <c r="O189" s="92"/>
      <c r="P189" s="91"/>
    </row>
    <row r="190" spans="2:17" ht="15.75" customHeight="1" thickBot="1" x14ac:dyDescent="0.3">
      <c r="B190" s="28" t="s">
        <v>92</v>
      </c>
      <c r="C190" s="29" t="s">
        <v>134</v>
      </c>
      <c r="D190" s="29" t="s">
        <v>69</v>
      </c>
      <c r="E190" s="29" t="s">
        <v>135</v>
      </c>
      <c r="F190" s="30" t="s">
        <v>136</v>
      </c>
      <c r="G190" s="29" t="s">
        <v>74</v>
      </c>
      <c r="H190" s="29">
        <v>123456</v>
      </c>
      <c r="I190" s="29">
        <v>8123456</v>
      </c>
      <c r="J190" s="29" t="s">
        <v>70</v>
      </c>
      <c r="K190" s="30" t="s">
        <v>243</v>
      </c>
      <c r="L190" s="35" t="s">
        <v>71</v>
      </c>
      <c r="M190" s="31">
        <v>45230</v>
      </c>
      <c r="N190" s="32">
        <f>-71.5*5</f>
        <v>-357.5</v>
      </c>
      <c r="O190" s="89"/>
      <c r="P190" s="90"/>
    </row>
    <row r="191" spans="2:17" ht="15.75" customHeight="1" thickBot="1" x14ac:dyDescent="0.3">
      <c r="B191" s="267" t="s">
        <v>138</v>
      </c>
      <c r="C191" s="269"/>
      <c r="D191" s="269"/>
      <c r="E191" s="269"/>
      <c r="F191" s="269"/>
      <c r="G191" s="269"/>
      <c r="H191" s="269"/>
      <c r="I191" s="269"/>
      <c r="J191" s="269"/>
      <c r="K191" s="269"/>
      <c r="L191" s="269"/>
      <c r="M191" s="33"/>
      <c r="N191" s="34">
        <f>SUM(N21:N190)</f>
        <v>246.56980799999292</v>
      </c>
      <c r="O191" s="94"/>
      <c r="P191" s="94"/>
    </row>
    <row r="192" spans="2:17" ht="12.75" customHeight="1" x14ac:dyDescent="0.25">
      <c r="B192" s="267" t="s">
        <v>153</v>
      </c>
      <c r="C192" s="268" t="s">
        <v>151</v>
      </c>
      <c r="D192" s="268"/>
      <c r="E192" s="268"/>
      <c r="F192" s="268"/>
      <c r="G192" s="268"/>
      <c r="H192" s="268"/>
      <c r="I192" s="268"/>
      <c r="J192" s="268" t="s">
        <v>152</v>
      </c>
      <c r="K192" s="268"/>
      <c r="L192" s="268"/>
      <c r="M192" s="33"/>
      <c r="N192" s="34"/>
      <c r="O192" s="94">
        <f>SUMIFS($N$21:$N$190,$O$21:$O$190,"x")</f>
        <v>0</v>
      </c>
      <c r="P192" s="99">
        <f>SUMIFS($N$21:$N$190,$P$21:$P$190,"x")</f>
        <v>21999.815504000013</v>
      </c>
      <c r="Q192" s="36"/>
    </row>
    <row r="193" spans="11:11" ht="12.75" customHeight="1" x14ac:dyDescent="0.25"/>
    <row r="194" spans="11:11" ht="12.75" customHeight="1" x14ac:dyDescent="0.25"/>
    <row r="195" spans="11:11" ht="12.75" customHeight="1" x14ac:dyDescent="0.25"/>
    <row r="196" spans="11:11" ht="12.75" customHeight="1" x14ac:dyDescent="0.25"/>
    <row r="197" spans="11:11" ht="12.75" customHeight="1" x14ac:dyDescent="0.25"/>
    <row r="198" spans="11:11" ht="12.75" customHeight="1" x14ac:dyDescent="0.25"/>
    <row r="199" spans="11:11" ht="12.75" customHeight="1" x14ac:dyDescent="0.25">
      <c r="K199" s="98" t="s">
        <v>154</v>
      </c>
    </row>
    <row r="200" spans="11:11" ht="12.75" customHeight="1" x14ac:dyDescent="0.25"/>
    <row r="201" spans="11:11" ht="12.75" customHeight="1" x14ac:dyDescent="0.25"/>
    <row r="202" spans="11:11" ht="12.75" customHeight="1" x14ac:dyDescent="0.25"/>
    <row r="203" spans="11:11" ht="12.75" customHeight="1" x14ac:dyDescent="0.25"/>
    <row r="204" spans="11:11" ht="12.75" customHeight="1" x14ac:dyDescent="0.25"/>
    <row r="205" spans="11:11" ht="12.75" customHeight="1" x14ac:dyDescent="0.25"/>
    <row r="206" spans="11:11" ht="12.75" customHeight="1" x14ac:dyDescent="0.25"/>
    <row r="207" spans="11:11" ht="12.75" customHeight="1" x14ac:dyDescent="0.25"/>
    <row r="208" spans="11:11"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sheetData>
  <mergeCells count="17">
    <mergeCell ref="P7:P8"/>
    <mergeCell ref="L7:L8"/>
    <mergeCell ref="N7:N8"/>
    <mergeCell ref="B2:O2"/>
    <mergeCell ref="B192:L192"/>
    <mergeCell ref="B191:L191"/>
    <mergeCell ref="B7:B8"/>
    <mergeCell ref="D7:D8"/>
    <mergeCell ref="E7:E8"/>
    <mergeCell ref="F7:F8"/>
    <mergeCell ref="G7:G8"/>
    <mergeCell ref="H7:H8"/>
    <mergeCell ref="B5:P6"/>
    <mergeCell ref="I7:I8"/>
    <mergeCell ref="J7:J8"/>
    <mergeCell ref="K7:K8"/>
    <mergeCell ref="O7:O8"/>
  </mergeCells>
  <printOptions horizontalCentered="1"/>
  <pageMargins left="0.7" right="0.68686868686868685" top="0.75" bottom="0.75" header="0.3" footer="0.3"/>
  <pageSetup scale="64" fitToHeight="0" orientation="landscape" r:id="rId1"/>
  <headerFooter>
    <oddHeader>&amp;C&amp;24Reconciliation of General Ledger Detail since the last recharge proposal approval</oddHeader>
  </headerFooter>
  <rowBreaks count="2" manualBreakCount="2">
    <brk id="69" min="1" max="15" man="1"/>
    <brk id="160" min="1"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9"/>
  <sheetViews>
    <sheetView showGridLines="0" showWhiteSpace="0" zoomScale="143" zoomScaleNormal="143" zoomScalePageLayoutView="80" workbookViewId="0">
      <selection activeCell="G41" sqref="G41"/>
    </sheetView>
  </sheetViews>
  <sheetFormatPr defaultRowHeight="12.5" outlineLevelCol="1" x14ac:dyDescent="0.25"/>
  <cols>
    <col min="1" max="1" width="2.90625" customWidth="1"/>
    <col min="2" max="2" width="15.6328125" customWidth="1"/>
    <col min="3" max="3" width="13.36328125" customWidth="1"/>
    <col min="4" max="4" width="12.7265625" customWidth="1"/>
    <col min="5" max="6" width="11.26953125" style="5" customWidth="1"/>
    <col min="7" max="7" width="17.26953125" style="5" customWidth="1"/>
    <col min="8" max="8" width="4.81640625" style="5" customWidth="1"/>
    <col min="9" max="9" width="13.7265625" style="4" customWidth="1"/>
    <col min="10" max="10" width="15.36328125" style="4" hidden="1" customWidth="1" outlineLevel="1"/>
    <col min="11" max="11" width="4.6328125" style="2" customWidth="1" collapsed="1"/>
    <col min="12" max="12" width="19" customWidth="1"/>
    <col min="13" max="13" width="17.26953125" hidden="1" customWidth="1" outlineLevel="1"/>
    <col min="14" max="14" width="11.26953125" customWidth="1" collapsed="1"/>
    <col min="15" max="15" width="11.26953125" customWidth="1"/>
    <col min="16" max="16" width="8.36328125" customWidth="1"/>
    <col min="17" max="51" width="9.08984375" customWidth="1"/>
  </cols>
  <sheetData>
    <row r="1" spans="1:14" ht="15.5" x14ac:dyDescent="0.35">
      <c r="A1" s="88" t="s">
        <v>206</v>
      </c>
    </row>
    <row r="2" spans="1:14" ht="13" x14ac:dyDescent="0.3">
      <c r="A2" s="195" t="s">
        <v>207</v>
      </c>
      <c r="B2" s="195" t="s">
        <v>216</v>
      </c>
      <c r="C2" s="195"/>
      <c r="D2" s="195"/>
      <c r="E2" s="198"/>
      <c r="F2" s="198"/>
      <c r="G2" s="198"/>
      <c r="H2" s="198"/>
      <c r="I2" s="199"/>
      <c r="J2" s="199"/>
      <c r="K2" s="200"/>
      <c r="L2" s="195"/>
      <c r="M2" s="195"/>
      <c r="N2" s="195"/>
    </row>
    <row r="3" spans="1:14" s="95" customFormat="1" ht="29.25" customHeight="1" x14ac:dyDescent="0.25">
      <c r="B3" s="278" t="s">
        <v>211</v>
      </c>
      <c r="C3" s="278"/>
      <c r="D3" s="278"/>
      <c r="E3" s="278"/>
      <c r="F3" s="278"/>
      <c r="G3" s="278"/>
      <c r="H3" s="278"/>
      <c r="I3" s="278"/>
      <c r="J3" s="278"/>
      <c r="K3" s="278"/>
      <c r="L3" s="278"/>
      <c r="M3" s="278"/>
      <c r="N3" s="278"/>
    </row>
    <row r="4" spans="1:14" x14ac:dyDescent="0.25">
      <c r="A4" s="195" t="s">
        <v>208</v>
      </c>
      <c r="B4" s="195" t="s">
        <v>212</v>
      </c>
      <c r="C4" s="195"/>
      <c r="D4" s="195"/>
      <c r="E4" s="198"/>
      <c r="F4" s="198"/>
      <c r="G4" s="198"/>
      <c r="H4" s="198"/>
      <c r="I4" s="199"/>
      <c r="J4" s="199"/>
      <c r="K4" s="200"/>
      <c r="L4" s="195"/>
      <c r="M4" s="195"/>
      <c r="N4" s="195"/>
    </row>
    <row r="5" spans="1:14" ht="13" thickBot="1" x14ac:dyDescent="0.3">
      <c r="B5" s="105"/>
      <c r="C5" s="105"/>
      <c r="D5" s="105"/>
      <c r="E5" s="106"/>
      <c r="F5" s="106"/>
      <c r="G5" s="106"/>
      <c r="I5" s="176"/>
      <c r="J5" s="176"/>
      <c r="L5" s="171"/>
      <c r="M5" s="171"/>
    </row>
    <row r="6" spans="1:14" s="79" customFormat="1" ht="42" x14ac:dyDescent="0.3">
      <c r="B6" s="101" t="s">
        <v>155</v>
      </c>
      <c r="C6" s="102" t="s">
        <v>51</v>
      </c>
      <c r="D6" s="102" t="s">
        <v>24</v>
      </c>
      <c r="E6" s="102" t="s">
        <v>60</v>
      </c>
      <c r="F6" s="102" t="s">
        <v>156</v>
      </c>
      <c r="G6" s="103" t="s">
        <v>192</v>
      </c>
      <c r="H6" s="184"/>
      <c r="I6" s="186" t="s">
        <v>205</v>
      </c>
      <c r="J6" s="186" t="s">
        <v>205</v>
      </c>
      <c r="K6" s="178"/>
      <c r="L6" s="104" t="s">
        <v>191</v>
      </c>
      <c r="M6" s="181" t="s">
        <v>191</v>
      </c>
    </row>
    <row r="7" spans="1:14" s="88" customFormat="1" ht="15.5" x14ac:dyDescent="0.35">
      <c r="B7" s="107" t="s">
        <v>69</v>
      </c>
      <c r="C7" s="108">
        <v>123456</v>
      </c>
      <c r="D7" s="108">
        <v>5018</v>
      </c>
      <c r="E7" s="108">
        <v>8123456</v>
      </c>
      <c r="F7" s="108">
        <v>8123456</v>
      </c>
      <c r="G7" s="100">
        <v>-13646.350000000002</v>
      </c>
      <c r="H7" s="185"/>
      <c r="I7" s="183"/>
      <c r="J7" s="182">
        <f>'GL Transaction Detail'!$P$192</f>
        <v>21999.815504000013</v>
      </c>
      <c r="K7" s="179"/>
      <c r="L7" s="177">
        <f>Table4[Net Position - 
End of period (Deficit)/Surplus]+Table6[Total Unallowable Expenses]</f>
        <v>-13646.350000000002</v>
      </c>
      <c r="M7" s="175">
        <f>Table4[Net Position - 
End of period (Deficit)/Surplus]+Table65[Total Unallowable Expenses]</f>
        <v>8353.4655040000107</v>
      </c>
    </row>
    <row r="9" spans="1:14" s="88" customFormat="1" ht="15.5" x14ac:dyDescent="0.35">
      <c r="B9" s="289" t="s">
        <v>69</v>
      </c>
      <c r="C9" s="205">
        <v>123456</v>
      </c>
      <c r="D9" s="205">
        <v>5500</v>
      </c>
      <c r="E9" s="205">
        <v>8123456</v>
      </c>
      <c r="F9" s="205">
        <v>8123456</v>
      </c>
      <c r="G9" s="204">
        <v>6795.11</v>
      </c>
      <c r="I9" s="204">
        <v>0</v>
      </c>
      <c r="J9" s="204">
        <v>0</v>
      </c>
      <c r="K9" s="179"/>
      <c r="L9" s="204">
        <f>G9+I9</f>
        <v>6795.11</v>
      </c>
      <c r="M9" s="175">
        <f>G9+J9</f>
        <v>6795.11</v>
      </c>
    </row>
  </sheetData>
  <mergeCells count="1">
    <mergeCell ref="B3:N3"/>
  </mergeCells>
  <phoneticPr fontId="3" type="noConversion"/>
  <pageMargins left="0.75" right="0.75" top="1" bottom="1" header="0.5" footer="0.5"/>
  <pageSetup scale="72" orientation="landscape" r:id="rId1"/>
  <headerFooter alignWithMargins="0">
    <oddHeader xml:space="preserve">&amp;C&amp;22Calculation of the Adjusted Recharge Activity Net Position
</oddHeader>
  </headerFooter>
  <drawing r:id="rId2"/>
  <tableParts count="5">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O34"/>
  <sheetViews>
    <sheetView showGridLines="0" zoomScale="110" zoomScaleNormal="110" zoomScalePageLayoutView="60" workbookViewId="0">
      <selection activeCell="L17" sqref="L17"/>
    </sheetView>
  </sheetViews>
  <sheetFormatPr defaultColWidth="9.08984375" defaultRowHeight="18.5" x14ac:dyDescent="0.45"/>
  <cols>
    <col min="1" max="1" width="3.7265625" style="109" customWidth="1"/>
    <col min="2" max="2" width="7.7265625" style="110" customWidth="1"/>
    <col min="3" max="3" width="4.6328125" style="110" customWidth="1"/>
    <col min="4" max="4" width="21.26953125" style="110" customWidth="1"/>
    <col min="5" max="5" width="20.6328125" style="110" customWidth="1"/>
    <col min="6" max="6" width="3.08984375" style="110" customWidth="1"/>
    <col min="7" max="7" width="18" style="110" customWidth="1"/>
    <col min="8" max="8" width="6.08984375" style="110" customWidth="1"/>
    <col min="9" max="9" width="9.36328125" style="110" customWidth="1"/>
    <col min="10" max="10" width="2.08984375" style="110" customWidth="1"/>
    <col min="11" max="11" width="5.7265625" style="110" customWidth="1"/>
    <col min="12" max="12" width="2.81640625" style="110" customWidth="1"/>
    <col min="13" max="13" width="9.6328125" style="110" customWidth="1"/>
    <col min="14" max="14" width="5.81640625" style="109" customWidth="1"/>
    <col min="15" max="16384" width="9.08984375" style="109"/>
  </cols>
  <sheetData>
    <row r="1" spans="1:14" ht="54.4" customHeight="1" x14ac:dyDescent="0.45">
      <c r="A1" s="279" t="s">
        <v>213</v>
      </c>
      <c r="B1" s="279"/>
      <c r="C1" s="279"/>
      <c r="D1" s="279"/>
      <c r="E1" s="279"/>
      <c r="F1" s="279"/>
      <c r="G1" s="279"/>
      <c r="H1" s="279"/>
      <c r="I1" s="279"/>
      <c r="J1" s="279"/>
      <c r="K1" s="279"/>
      <c r="L1" s="279"/>
      <c r="M1" s="279"/>
      <c r="N1" s="279"/>
    </row>
    <row r="2" spans="1:14" ht="28" customHeight="1" x14ac:dyDescent="0.55000000000000004">
      <c r="B2" s="282" t="s">
        <v>157</v>
      </c>
      <c r="C2" s="282"/>
      <c r="D2" s="282"/>
      <c r="E2" s="282"/>
      <c r="F2" s="282"/>
      <c r="G2" s="282"/>
      <c r="H2" s="282"/>
      <c r="I2" s="282"/>
      <c r="J2" s="282"/>
      <c r="K2" s="282"/>
      <c r="L2" s="282"/>
      <c r="M2" s="282"/>
      <c r="N2" s="282"/>
    </row>
    <row r="3" spans="1:14" ht="12" customHeight="1" thickBot="1" x14ac:dyDescent="0.6">
      <c r="B3" s="144"/>
      <c r="C3" s="144"/>
      <c r="D3" s="144"/>
      <c r="E3" s="144"/>
      <c r="F3" s="144"/>
      <c r="G3" s="144"/>
      <c r="H3" s="144"/>
      <c r="I3" s="144"/>
      <c r="J3" s="144"/>
      <c r="K3" s="144"/>
      <c r="L3" s="144"/>
      <c r="M3" s="144"/>
    </row>
    <row r="4" spans="1:14" s="110" customFormat="1" ht="16" thickBot="1" x14ac:dyDescent="0.4">
      <c r="B4" s="155"/>
      <c r="C4" s="156"/>
      <c r="D4" s="152" t="s">
        <v>159</v>
      </c>
      <c r="E4" s="152"/>
      <c r="F4" s="152"/>
      <c r="G4" s="284" t="str">
        <f>IF('Last Approved Rate Calc'!A5="","",'Last Approved Rate Calc'!A5)</f>
        <v>Electron Microscope Recharge</v>
      </c>
      <c r="H4" s="284"/>
      <c r="I4" s="284"/>
      <c r="J4" s="284"/>
      <c r="K4" s="284"/>
      <c r="L4" s="284"/>
      <c r="M4" s="284"/>
      <c r="N4" s="285"/>
    </row>
    <row r="5" spans="1:14" s="110" customFormat="1" ht="11.25" customHeight="1" thickBot="1" x14ac:dyDescent="0.4">
      <c r="C5" s="145"/>
      <c r="D5" s="145"/>
      <c r="E5" s="145"/>
      <c r="F5" s="145"/>
      <c r="G5" s="147"/>
      <c r="H5" s="147"/>
      <c r="I5" s="147"/>
      <c r="J5" s="147"/>
      <c r="K5" s="147"/>
      <c r="L5" s="147"/>
      <c r="M5" s="147"/>
    </row>
    <row r="6" spans="1:14" s="110" customFormat="1" ht="15.5" x14ac:dyDescent="0.35">
      <c r="B6" s="148"/>
      <c r="C6" s="149"/>
      <c r="D6" s="149" t="s">
        <v>158</v>
      </c>
      <c r="E6" s="149"/>
      <c r="F6" s="149"/>
      <c r="G6" s="149"/>
      <c r="H6" s="149"/>
      <c r="I6" s="149"/>
      <c r="J6" s="149"/>
      <c r="K6" s="149"/>
      <c r="L6" s="149"/>
      <c r="M6" s="149"/>
      <c r="N6" s="150"/>
    </row>
    <row r="7" spans="1:14" s="110" customFormat="1" ht="10.5" customHeight="1" x14ac:dyDescent="0.35">
      <c r="B7" s="151"/>
      <c r="C7" s="145"/>
      <c r="D7" s="283"/>
      <c r="E7" s="283"/>
      <c r="F7" s="283"/>
      <c r="G7" s="283"/>
      <c r="H7" s="283"/>
      <c r="I7" s="283"/>
      <c r="J7" s="153"/>
      <c r="K7" s="153"/>
      <c r="L7" s="153"/>
      <c r="M7" s="153"/>
      <c r="N7" s="115"/>
    </row>
    <row r="8" spans="1:14" s="110" customFormat="1" ht="15.5" x14ac:dyDescent="0.35">
      <c r="B8" s="111"/>
      <c r="D8" s="110" t="s">
        <v>160</v>
      </c>
      <c r="I8" s="168">
        <v>123456</v>
      </c>
      <c r="J8" s="164" t="s">
        <v>187</v>
      </c>
      <c r="K8" s="164">
        <v>5018</v>
      </c>
      <c r="L8" s="164" t="s">
        <v>187</v>
      </c>
      <c r="M8" s="167">
        <v>8123456</v>
      </c>
      <c r="N8" s="115"/>
    </row>
    <row r="9" spans="1:14" s="110" customFormat="1" ht="15.5" x14ac:dyDescent="0.35">
      <c r="B9" s="111"/>
      <c r="D9" s="110" t="s">
        <v>161</v>
      </c>
      <c r="I9" s="170"/>
      <c r="J9" s="164" t="s">
        <v>187</v>
      </c>
      <c r="K9" s="170"/>
      <c r="L9" s="164" t="s">
        <v>187</v>
      </c>
      <c r="M9" s="170"/>
      <c r="N9" s="115"/>
    </row>
    <row r="10" spans="1:14" s="110" customFormat="1" ht="15.5" x14ac:dyDescent="0.35">
      <c r="B10" s="111"/>
      <c r="I10" s="170"/>
      <c r="J10" s="164" t="s">
        <v>187</v>
      </c>
      <c r="K10" s="170"/>
      <c r="L10" s="164" t="s">
        <v>187</v>
      </c>
      <c r="M10" s="170"/>
      <c r="N10" s="115"/>
    </row>
    <row r="11" spans="1:14" s="110" customFormat="1" ht="15.5" x14ac:dyDescent="0.35">
      <c r="B11" s="111"/>
      <c r="D11" s="110" t="s">
        <v>162</v>
      </c>
      <c r="I11" s="170">
        <v>123456</v>
      </c>
      <c r="J11" s="164" t="s">
        <v>187</v>
      </c>
      <c r="K11" s="170">
        <v>5500</v>
      </c>
      <c r="L11" s="164" t="s">
        <v>187</v>
      </c>
      <c r="M11" s="203">
        <v>8123456</v>
      </c>
      <c r="N11" s="115"/>
    </row>
    <row r="12" spans="1:14" s="110" customFormat="1" ht="12.75" customHeight="1" thickBot="1" x14ac:dyDescent="0.4">
      <c r="B12" s="112"/>
      <c r="C12" s="113"/>
      <c r="D12" s="113"/>
      <c r="E12" s="113"/>
      <c r="F12" s="113"/>
      <c r="G12" s="113"/>
      <c r="H12" s="113"/>
      <c r="I12" s="113"/>
      <c r="J12" s="113"/>
      <c r="K12" s="113"/>
      <c r="L12" s="113"/>
      <c r="M12" s="113"/>
      <c r="N12" s="114"/>
    </row>
    <row r="13" spans="1:14" s="110" customFormat="1" ht="9" customHeight="1" thickBot="1" x14ac:dyDescent="0.4">
      <c r="B13" s="113"/>
    </row>
    <row r="14" spans="1:14" s="110" customFormat="1" ht="15.5" x14ac:dyDescent="0.35">
      <c r="A14" s="115"/>
      <c r="B14" s="154"/>
      <c r="C14" s="149"/>
      <c r="D14" s="149" t="s">
        <v>163</v>
      </c>
      <c r="E14" s="149"/>
      <c r="F14" s="149"/>
      <c r="G14" s="149"/>
      <c r="H14" s="149"/>
      <c r="I14" s="149"/>
      <c r="J14" s="149"/>
      <c r="K14" s="149"/>
      <c r="L14" s="149"/>
      <c r="M14" s="149"/>
      <c r="N14" s="150"/>
    </row>
    <row r="15" spans="1:14" s="110" customFormat="1" ht="9" customHeight="1" x14ac:dyDescent="0.35">
      <c r="A15" s="115"/>
      <c r="B15" s="153"/>
      <c r="C15" s="283"/>
      <c r="D15" s="283"/>
      <c r="E15" s="283"/>
      <c r="F15" s="283"/>
      <c r="G15" s="283"/>
      <c r="H15" s="283"/>
      <c r="I15" s="283"/>
      <c r="J15" s="153"/>
      <c r="K15" s="153"/>
      <c r="L15" s="153"/>
      <c r="M15" s="153"/>
      <c r="N15" s="115"/>
    </row>
    <row r="16" spans="1:14" s="110" customFormat="1" ht="17.25" customHeight="1" x14ac:dyDescent="0.35">
      <c r="B16" s="111"/>
      <c r="C16" s="110" t="s">
        <v>164</v>
      </c>
      <c r="L16" s="286">
        <v>45200</v>
      </c>
      <c r="M16" s="286"/>
      <c r="N16" s="115"/>
    </row>
    <row r="17" spans="2:15" s="110" customFormat="1" ht="7.5" customHeight="1" x14ac:dyDescent="0.35">
      <c r="B17" s="111"/>
      <c r="L17" s="173"/>
      <c r="M17" s="173"/>
      <c r="N17" s="115"/>
    </row>
    <row r="18" spans="2:15" s="110" customFormat="1" ht="19.5" customHeight="1" x14ac:dyDescent="0.35">
      <c r="B18" s="111"/>
      <c r="C18" s="110" t="s">
        <v>165</v>
      </c>
      <c r="N18" s="115"/>
    </row>
    <row r="19" spans="2:15" s="110" customFormat="1" ht="15.5" x14ac:dyDescent="0.35">
      <c r="B19" s="111"/>
      <c r="C19" s="110" t="s">
        <v>166</v>
      </c>
      <c r="N19" s="115"/>
    </row>
    <row r="20" spans="2:15" s="110" customFormat="1" ht="20.25" customHeight="1" x14ac:dyDescent="0.35">
      <c r="B20" s="111"/>
      <c r="C20" s="159" t="s">
        <v>180</v>
      </c>
      <c r="D20" s="110" t="s">
        <v>181</v>
      </c>
      <c r="E20" s="159"/>
      <c r="F20" s="159"/>
      <c r="G20" s="159"/>
      <c r="H20" s="159"/>
      <c r="I20" s="159"/>
      <c r="J20" s="159"/>
      <c r="K20" s="159"/>
      <c r="L20" s="159"/>
      <c r="M20" s="159"/>
      <c r="N20" s="115"/>
    </row>
    <row r="21" spans="2:15" s="110" customFormat="1" ht="15" customHeight="1" x14ac:dyDescent="0.35">
      <c r="B21" s="111"/>
      <c r="C21" s="157"/>
      <c r="D21" s="158" t="s">
        <v>182</v>
      </c>
      <c r="E21" s="157"/>
      <c r="F21" s="157"/>
      <c r="G21" s="157"/>
      <c r="H21" s="157"/>
      <c r="I21" s="157"/>
      <c r="J21" s="157"/>
      <c r="K21" s="157"/>
      <c r="L21" s="157"/>
      <c r="M21" s="157"/>
      <c r="N21" s="115"/>
    </row>
    <row r="22" spans="2:15" s="110" customFormat="1" ht="15.5" x14ac:dyDescent="0.35">
      <c r="B22" s="111"/>
      <c r="C22" s="157"/>
      <c r="D22" s="158" t="s">
        <v>183</v>
      </c>
      <c r="E22" s="157"/>
      <c r="F22" s="157"/>
      <c r="G22" s="157"/>
      <c r="H22" s="157"/>
      <c r="I22" s="157"/>
      <c r="J22" s="157"/>
      <c r="K22" s="157"/>
      <c r="L22" s="157"/>
      <c r="M22" s="157"/>
      <c r="N22" s="115"/>
    </row>
    <row r="23" spans="2:15" s="159" customFormat="1" ht="19.5" customHeight="1" x14ac:dyDescent="0.25">
      <c r="B23" s="160"/>
      <c r="C23" s="161"/>
      <c r="D23" s="161" t="s">
        <v>184</v>
      </c>
      <c r="E23" s="161"/>
      <c r="F23" s="161"/>
      <c r="G23" s="161"/>
      <c r="H23" s="161"/>
      <c r="I23" s="162"/>
      <c r="J23" s="162"/>
      <c r="K23" s="162"/>
      <c r="L23" s="162"/>
      <c r="M23" s="162"/>
      <c r="N23" s="163"/>
    </row>
    <row r="24" spans="2:15" s="110" customFormat="1" ht="17.25" customHeight="1" x14ac:dyDescent="0.35">
      <c r="B24" s="111"/>
      <c r="C24" s="116"/>
      <c r="D24" s="158" t="s">
        <v>185</v>
      </c>
      <c r="E24" s="116"/>
      <c r="F24" s="116"/>
      <c r="G24" s="116"/>
      <c r="J24" s="169" t="s">
        <v>188</v>
      </c>
      <c r="K24" s="280">
        <f>'Adjusted Net Position'!$M$7</f>
        <v>8353.4655040000107</v>
      </c>
      <c r="L24" s="280"/>
      <c r="M24" s="280"/>
      <c r="N24" s="115"/>
    </row>
    <row r="25" spans="2:15" s="110" customFormat="1" ht="20.9" customHeight="1" x14ac:dyDescent="0.35">
      <c r="B25" s="111"/>
      <c r="C25" s="110" t="s">
        <v>167</v>
      </c>
      <c r="H25" s="281"/>
      <c r="I25" s="281"/>
      <c r="J25" s="281"/>
      <c r="K25" s="281"/>
      <c r="L25" s="281"/>
      <c r="M25" s="281"/>
      <c r="N25" s="115"/>
      <c r="O25" s="165"/>
    </row>
    <row r="26" spans="2:15" s="110" customFormat="1" ht="18.75" customHeight="1" x14ac:dyDescent="0.35">
      <c r="B26" s="111"/>
      <c r="C26" s="116"/>
      <c r="D26" s="110" t="s">
        <v>186</v>
      </c>
      <c r="I26" s="166"/>
      <c r="J26" s="164" t="s">
        <v>187</v>
      </c>
      <c r="K26" s="166"/>
      <c r="L26" s="164" t="s">
        <v>187</v>
      </c>
      <c r="M26" s="166"/>
      <c r="N26" s="115"/>
    </row>
    <row r="27" spans="2:15" s="110" customFormat="1" ht="20.9" customHeight="1" x14ac:dyDescent="0.35">
      <c r="B27" s="111"/>
      <c r="D27" s="158" t="s">
        <v>189</v>
      </c>
      <c r="E27" s="116"/>
      <c r="F27" s="116"/>
      <c r="G27" s="116"/>
      <c r="H27" s="116"/>
      <c r="N27" s="115"/>
    </row>
    <row r="28" spans="2:15" s="110" customFormat="1" ht="9.75" customHeight="1" x14ac:dyDescent="0.35">
      <c r="B28" s="111"/>
      <c r="D28" s="158"/>
      <c r="E28" s="116"/>
      <c r="F28" s="116"/>
      <c r="G28" s="116"/>
      <c r="H28" s="116"/>
      <c r="N28" s="115"/>
    </row>
    <row r="29" spans="2:15" s="110" customFormat="1" ht="17.25" customHeight="1" x14ac:dyDescent="0.35">
      <c r="B29" s="111"/>
      <c r="C29" s="110" t="s">
        <v>168</v>
      </c>
      <c r="J29" s="169" t="s">
        <v>188</v>
      </c>
      <c r="K29" s="280">
        <v>6795.11</v>
      </c>
      <c r="L29" s="280"/>
      <c r="M29" s="280"/>
      <c r="N29" s="115"/>
    </row>
    <row r="30" spans="2:15" s="110" customFormat="1" ht="17.25" customHeight="1" x14ac:dyDescent="0.35">
      <c r="B30" s="111"/>
      <c r="C30" s="116"/>
      <c r="D30" s="110" t="s">
        <v>190</v>
      </c>
      <c r="E30" s="116"/>
      <c r="F30" s="169"/>
      <c r="G30" s="172"/>
      <c r="H30" s="172"/>
      <c r="I30" s="166">
        <v>123456</v>
      </c>
      <c r="J30" s="164" t="s">
        <v>187</v>
      </c>
      <c r="K30" s="166">
        <v>5018</v>
      </c>
      <c r="L30" s="164" t="s">
        <v>187</v>
      </c>
      <c r="M30" s="166">
        <v>1111111</v>
      </c>
      <c r="N30" s="115"/>
      <c r="O30" s="165"/>
    </row>
    <row r="31" spans="2:15" s="110" customFormat="1" ht="15" customHeight="1" thickBot="1" x14ac:dyDescent="0.4">
      <c r="B31" s="112"/>
      <c r="C31" s="113"/>
      <c r="D31" s="113"/>
      <c r="E31" s="113"/>
      <c r="F31" s="113"/>
      <c r="G31" s="113"/>
      <c r="H31" s="113"/>
      <c r="I31" s="113"/>
      <c r="J31" s="113"/>
      <c r="K31" s="113"/>
      <c r="L31" s="113"/>
      <c r="M31" s="113"/>
      <c r="N31" s="114"/>
    </row>
    <row r="32" spans="2:15" s="110" customFormat="1" ht="15.5" x14ac:dyDescent="0.35"/>
    <row r="33" s="110" customFormat="1" ht="15.5" x14ac:dyDescent="0.35"/>
    <row r="34" s="110" customFormat="1" ht="15.5" x14ac:dyDescent="0.35"/>
  </sheetData>
  <mergeCells count="9">
    <mergeCell ref="A1:N1"/>
    <mergeCell ref="K29:M29"/>
    <mergeCell ref="H25:M25"/>
    <mergeCell ref="B2:N2"/>
    <mergeCell ref="D7:I7"/>
    <mergeCell ref="C15:I15"/>
    <mergeCell ref="G4:N4"/>
    <mergeCell ref="K24:M24"/>
    <mergeCell ref="L16:M16"/>
  </mergeCells>
  <printOptions horizontalCentered="1"/>
  <pageMargins left="0.7" right="0.7" top="0.75" bottom="0.48854166666666698" header="0.3" footer="0.3"/>
  <pageSetup orientation="landscape" r:id="rId1"/>
  <headerFooter>
    <oddHeader>&amp;C&amp;"-,Bold"&amp;18RECHARGE DISCONTINUATION REQUEST</oddHeader>
  </headerFooter>
  <drawing r:id="rId2"/>
  <legacyDrawing r:id="rId3"/>
  <controls>
    <mc:AlternateContent xmlns:mc="http://schemas.openxmlformats.org/markup-compatibility/2006">
      <mc:Choice Requires="x14">
        <control shapeId="8200" r:id="rId4" name="CheckBox10">
          <controlPr autoLine="0" r:id="rId5">
            <anchor moveWithCells="1">
              <from>
                <xdr:col>2</xdr:col>
                <xdr:colOff>50800</xdr:colOff>
                <xdr:row>29</xdr:row>
                <xdr:rowOff>38100</xdr:rowOff>
              </from>
              <to>
                <xdr:col>3</xdr:col>
                <xdr:colOff>31750</xdr:colOff>
                <xdr:row>30</xdr:row>
                <xdr:rowOff>57150</xdr:rowOff>
              </to>
            </anchor>
          </controlPr>
        </control>
      </mc:Choice>
      <mc:Fallback>
        <control shapeId="8200" r:id="rId4" name="CheckBox10"/>
      </mc:Fallback>
    </mc:AlternateContent>
    <mc:AlternateContent xmlns:mc="http://schemas.openxmlformats.org/markup-compatibility/2006">
      <mc:Choice Requires="x14">
        <control shapeId="8199" r:id="rId6" name="CheckBox9">
          <controlPr autoLine="0" r:id="rId7">
            <anchor moveWithCells="1">
              <from>
                <xdr:col>1</xdr:col>
                <xdr:colOff>209550</xdr:colOff>
                <xdr:row>28</xdr:row>
                <xdr:rowOff>31750</xdr:rowOff>
              </from>
              <to>
                <xdr:col>1</xdr:col>
                <xdr:colOff>514350</xdr:colOff>
                <xdr:row>29</xdr:row>
                <xdr:rowOff>63500</xdr:rowOff>
              </to>
            </anchor>
          </controlPr>
        </control>
      </mc:Choice>
      <mc:Fallback>
        <control shapeId="8199" r:id="rId6" name="CheckBox9"/>
      </mc:Fallback>
    </mc:AlternateContent>
    <mc:AlternateContent xmlns:mc="http://schemas.openxmlformats.org/markup-compatibility/2006">
      <mc:Choice Requires="x14">
        <control shapeId="8198" r:id="rId8" name="CheckBox8">
          <controlPr autoLine="0" r:id="rId5">
            <anchor moveWithCells="1">
              <from>
                <xdr:col>2</xdr:col>
                <xdr:colOff>50800</xdr:colOff>
                <xdr:row>26</xdr:row>
                <xdr:rowOff>57150</xdr:rowOff>
              </from>
              <to>
                <xdr:col>3</xdr:col>
                <xdr:colOff>31750</xdr:colOff>
                <xdr:row>27</xdr:row>
                <xdr:rowOff>31750</xdr:rowOff>
              </to>
            </anchor>
          </controlPr>
        </control>
      </mc:Choice>
      <mc:Fallback>
        <control shapeId="8198" r:id="rId8" name="CheckBox8"/>
      </mc:Fallback>
    </mc:AlternateContent>
    <mc:AlternateContent xmlns:mc="http://schemas.openxmlformats.org/markup-compatibility/2006">
      <mc:Choice Requires="x14">
        <control shapeId="8197" r:id="rId9" name="CheckBox7">
          <controlPr autoLine="0" r:id="rId10">
            <anchor moveWithCells="1">
              <from>
                <xdr:col>2</xdr:col>
                <xdr:colOff>69850</xdr:colOff>
                <xdr:row>25</xdr:row>
                <xdr:rowOff>19050</xdr:rowOff>
              </from>
              <to>
                <xdr:col>3</xdr:col>
                <xdr:colOff>50800</xdr:colOff>
                <xdr:row>26</xdr:row>
                <xdr:rowOff>31750</xdr:rowOff>
              </to>
            </anchor>
          </controlPr>
        </control>
      </mc:Choice>
      <mc:Fallback>
        <control shapeId="8197" r:id="rId9" name="CheckBox7"/>
      </mc:Fallback>
    </mc:AlternateContent>
    <mc:AlternateContent xmlns:mc="http://schemas.openxmlformats.org/markup-compatibility/2006">
      <mc:Choice Requires="x14">
        <control shapeId="8196" r:id="rId11" name="CheckBox5">
          <controlPr autoLine="0" r:id="rId7">
            <anchor moveWithCells="1">
              <from>
                <xdr:col>2</xdr:col>
                <xdr:colOff>50800</xdr:colOff>
                <xdr:row>22</xdr:row>
                <xdr:rowOff>31750</xdr:rowOff>
              </from>
              <to>
                <xdr:col>3</xdr:col>
                <xdr:colOff>31750</xdr:colOff>
                <xdr:row>23</xdr:row>
                <xdr:rowOff>31750</xdr:rowOff>
              </to>
            </anchor>
          </controlPr>
        </control>
      </mc:Choice>
      <mc:Fallback>
        <control shapeId="8196" r:id="rId11" name="CheckBox5"/>
      </mc:Fallback>
    </mc:AlternateContent>
    <mc:AlternateContent xmlns:mc="http://schemas.openxmlformats.org/markup-compatibility/2006">
      <mc:Choice Requires="x14">
        <control shapeId="8195" r:id="rId12" name="CheckBox4">
          <controlPr autoLine="0" r:id="rId7">
            <anchor moveWithCells="1">
              <from>
                <xdr:col>2</xdr:col>
                <xdr:colOff>57150</xdr:colOff>
                <xdr:row>19</xdr:row>
                <xdr:rowOff>50800</xdr:rowOff>
              </from>
              <to>
                <xdr:col>3</xdr:col>
                <xdr:colOff>38100</xdr:colOff>
                <xdr:row>20</xdr:row>
                <xdr:rowOff>44450</xdr:rowOff>
              </to>
            </anchor>
          </controlPr>
        </control>
      </mc:Choice>
      <mc:Fallback>
        <control shapeId="8195" r:id="rId12" name="CheckBox4"/>
      </mc:Fallback>
    </mc:AlternateContent>
    <mc:AlternateContent xmlns:mc="http://schemas.openxmlformats.org/markup-compatibility/2006">
      <mc:Choice Requires="x14">
        <control shapeId="8194" r:id="rId13" name="CheckBox2">
          <controlPr autoLine="0" r:id="rId7">
            <anchor moveWithCells="1">
              <from>
                <xdr:col>1</xdr:col>
                <xdr:colOff>209550</xdr:colOff>
                <xdr:row>17</xdr:row>
                <xdr:rowOff>50800</xdr:rowOff>
              </from>
              <to>
                <xdr:col>1</xdr:col>
                <xdr:colOff>514350</xdr:colOff>
                <xdr:row>18</xdr:row>
                <xdr:rowOff>50800</xdr:rowOff>
              </to>
            </anchor>
          </controlPr>
        </control>
      </mc:Choice>
      <mc:Fallback>
        <control shapeId="8194" r:id="rId13" name="CheckBox2"/>
      </mc:Fallback>
    </mc:AlternateContent>
    <mc:AlternateContent xmlns:mc="http://schemas.openxmlformats.org/markup-compatibility/2006">
      <mc:Choice Requires="x14">
        <control shapeId="8193" r:id="rId14" name="CheckBox1">
          <controlPr autoLine="0" r:id="rId7">
            <anchor moveWithCells="1">
              <from>
                <xdr:col>1</xdr:col>
                <xdr:colOff>209550</xdr:colOff>
                <xdr:row>15</xdr:row>
                <xdr:rowOff>50800</xdr:rowOff>
              </from>
              <to>
                <xdr:col>1</xdr:col>
                <xdr:colOff>514350</xdr:colOff>
                <xdr:row>16</xdr:row>
                <xdr:rowOff>82550</xdr:rowOff>
              </to>
            </anchor>
          </controlPr>
        </control>
      </mc:Choice>
      <mc:Fallback>
        <control shapeId="8193" r:id="rId14" name="CheckBox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3"/>
  <sheetViews>
    <sheetView showGridLines="0" showWhiteSpace="0" zoomScale="140" zoomScaleNormal="140" zoomScalePageLayoutView="90" workbookViewId="0">
      <selection activeCell="B2" sqref="B2:M2"/>
    </sheetView>
  </sheetViews>
  <sheetFormatPr defaultRowHeight="12.5" outlineLevelCol="1" x14ac:dyDescent="0.25"/>
  <cols>
    <col min="1" max="1" width="4.26953125" customWidth="1"/>
    <col min="2" max="2" width="10.26953125" customWidth="1"/>
    <col min="3" max="3" width="8.7265625" customWidth="1"/>
    <col min="4" max="4" width="8" style="1" customWidth="1"/>
    <col min="5" max="5" width="9" style="3" customWidth="1"/>
    <col min="6" max="6" width="10.08984375" style="3" customWidth="1"/>
    <col min="7" max="7" width="9.36328125" customWidth="1"/>
    <col min="8" max="8" width="12.7265625" customWidth="1"/>
    <col min="9" max="9" width="7.7265625" customWidth="1"/>
    <col min="10" max="10" width="8.6328125" hidden="1" customWidth="1" outlineLevel="1"/>
    <col min="11" max="11" width="11.36328125" customWidth="1" collapsed="1"/>
    <col min="12" max="12" width="11.6328125" hidden="1" customWidth="1" outlineLevel="1"/>
    <col min="13" max="13" width="9.08984375" collapsed="1"/>
  </cols>
  <sheetData>
    <row r="1" spans="1:13" ht="44.65" customHeight="1" x14ac:dyDescent="0.25">
      <c r="A1" s="287" t="s">
        <v>217</v>
      </c>
      <c r="B1" s="287"/>
      <c r="C1" s="287"/>
      <c r="D1" s="287"/>
      <c r="E1" s="287"/>
      <c r="F1" s="287"/>
      <c r="G1" s="287"/>
      <c r="H1" s="287"/>
      <c r="I1" s="287"/>
      <c r="J1" s="287"/>
      <c r="K1" s="287"/>
      <c r="L1" s="287"/>
      <c r="M1" s="287"/>
    </row>
    <row r="2" spans="1:13" s="6" customFormat="1" ht="27.75" customHeight="1" x14ac:dyDescent="0.25">
      <c r="A2" s="201" t="s">
        <v>207</v>
      </c>
      <c r="B2" s="288" t="s">
        <v>218</v>
      </c>
      <c r="C2" s="288"/>
      <c r="D2" s="288"/>
      <c r="E2" s="288"/>
      <c r="F2" s="288"/>
      <c r="G2" s="288"/>
      <c r="H2" s="288"/>
      <c r="I2" s="288"/>
      <c r="J2" s="288"/>
      <c r="K2" s="288"/>
      <c r="L2" s="288"/>
      <c r="M2" s="288"/>
    </row>
    <row r="3" spans="1:13" s="6" customFormat="1" ht="28.9" customHeight="1" x14ac:dyDescent="0.25">
      <c r="A3" s="201" t="s">
        <v>208</v>
      </c>
      <c r="B3" s="288" t="s">
        <v>219</v>
      </c>
      <c r="C3" s="288"/>
      <c r="D3" s="288"/>
      <c r="E3" s="288"/>
      <c r="F3" s="288"/>
      <c r="G3" s="288"/>
      <c r="H3" s="288"/>
      <c r="I3" s="288"/>
      <c r="J3" s="288"/>
      <c r="K3" s="288"/>
      <c r="L3" s="288"/>
      <c r="M3" s="288"/>
    </row>
    <row r="4" spans="1:13" s="6" customFormat="1" ht="18" customHeight="1" x14ac:dyDescent="0.25">
      <c r="B4" s="202" t="s">
        <v>193</v>
      </c>
      <c r="C4" s="80"/>
      <c r="D4" s="80"/>
      <c r="E4" s="80"/>
      <c r="F4" s="80"/>
      <c r="G4" s="80"/>
      <c r="H4" s="80"/>
      <c r="I4" s="80"/>
      <c r="J4" s="80"/>
    </row>
    <row r="5" spans="1:13" s="6" customFormat="1" ht="18.75" customHeight="1" x14ac:dyDescent="0.35">
      <c r="B5" s="96"/>
      <c r="C5" s="7"/>
      <c r="D5" s="7"/>
      <c r="E5" s="7"/>
      <c r="F5" s="7"/>
      <c r="G5" s="7"/>
      <c r="H5" s="7"/>
      <c r="I5" s="7"/>
    </row>
    <row r="6" spans="1:13" ht="32.25" customHeight="1" x14ac:dyDescent="0.3">
      <c r="B6" s="129" t="s">
        <v>169</v>
      </c>
      <c r="C6" s="118" t="s">
        <v>170</v>
      </c>
      <c r="D6" s="118" t="s">
        <v>24</v>
      </c>
      <c r="E6" s="118" t="s">
        <v>51</v>
      </c>
      <c r="F6" s="118" t="s">
        <v>52</v>
      </c>
      <c r="G6" s="119" t="s">
        <v>53</v>
      </c>
      <c r="H6" s="120" t="s">
        <v>171</v>
      </c>
      <c r="I6" s="117" t="s">
        <v>178</v>
      </c>
      <c r="J6" s="117" t="s">
        <v>178</v>
      </c>
      <c r="K6" s="121" t="s">
        <v>177</v>
      </c>
      <c r="L6" s="121" t="s">
        <v>177</v>
      </c>
      <c r="M6" s="79"/>
    </row>
    <row r="7" spans="1:13" ht="19.5" customHeight="1" x14ac:dyDescent="0.3">
      <c r="B7" s="125" t="s">
        <v>172</v>
      </c>
      <c r="C7" s="126">
        <v>52203</v>
      </c>
      <c r="D7" s="126">
        <v>4000</v>
      </c>
      <c r="E7" s="126">
        <v>234567</v>
      </c>
      <c r="F7" s="126" t="s">
        <v>144</v>
      </c>
      <c r="G7" s="127">
        <v>44</v>
      </c>
      <c r="H7" s="125">
        <v>21449.4</v>
      </c>
      <c r="I7" s="134"/>
      <c r="J7" s="136">
        <f>H7/$H$12</f>
        <v>0.45523520485584223</v>
      </c>
      <c r="K7" s="125"/>
      <c r="L7" s="128">
        <f>N(J7)*N($L$12)</f>
        <v>3802.7915799696561</v>
      </c>
      <c r="M7" s="79"/>
    </row>
    <row r="8" spans="1:13" ht="19.5" customHeight="1" x14ac:dyDescent="0.3">
      <c r="B8" s="123" t="s">
        <v>173</v>
      </c>
      <c r="C8" s="122">
        <v>52201</v>
      </c>
      <c r="D8" s="122">
        <v>4300</v>
      </c>
      <c r="E8" s="122">
        <v>345678</v>
      </c>
      <c r="F8" s="122">
        <v>2214567</v>
      </c>
      <c r="G8" s="124">
        <v>44</v>
      </c>
      <c r="H8" s="123">
        <v>6577.8160000000007</v>
      </c>
      <c r="I8" s="135"/>
      <c r="J8" s="141">
        <f t="shared" ref="J8:J11" si="0">H8/$H$12</f>
        <v>0.13960546282245828</v>
      </c>
      <c r="K8" s="142"/>
      <c r="L8" s="143">
        <f t="shared" ref="L8:L11" si="1">N(J8)*N($L$12)</f>
        <v>1166.1894178573611</v>
      </c>
      <c r="M8" s="79"/>
    </row>
    <row r="9" spans="1:13" ht="19.5" customHeight="1" x14ac:dyDescent="0.3">
      <c r="B9" s="125" t="s">
        <v>174</v>
      </c>
      <c r="C9" s="126">
        <v>52203</v>
      </c>
      <c r="D9" s="126">
        <v>4000</v>
      </c>
      <c r="E9" s="126">
        <v>456789</v>
      </c>
      <c r="F9" s="126" t="s">
        <v>146</v>
      </c>
      <c r="G9" s="127">
        <v>44</v>
      </c>
      <c r="H9" s="125">
        <v>5505.3460000000005</v>
      </c>
      <c r="I9" s="134"/>
      <c r="J9" s="136">
        <f t="shared" si="0"/>
        <v>0.11684370257966617</v>
      </c>
      <c r="K9" s="125"/>
      <c r="L9" s="128">
        <f t="shared" si="1"/>
        <v>976.04983885887839</v>
      </c>
      <c r="M9" s="79"/>
    </row>
    <row r="10" spans="1:13" ht="19.5" customHeight="1" x14ac:dyDescent="0.3">
      <c r="B10" s="123" t="s">
        <v>175</v>
      </c>
      <c r="C10" s="122">
        <v>52201</v>
      </c>
      <c r="D10" s="122">
        <v>7100</v>
      </c>
      <c r="E10" s="122">
        <v>567890</v>
      </c>
      <c r="F10" s="122">
        <v>7008654</v>
      </c>
      <c r="G10" s="124">
        <v>44</v>
      </c>
      <c r="H10" s="123">
        <v>4075.3860000000004</v>
      </c>
      <c r="I10" s="135"/>
      <c r="J10" s="141">
        <f t="shared" si="0"/>
        <v>8.6494688922610016E-2</v>
      </c>
      <c r="K10" s="142"/>
      <c r="L10" s="143">
        <f t="shared" si="1"/>
        <v>722.53040019423463</v>
      </c>
      <c r="M10" s="79"/>
    </row>
    <row r="11" spans="1:13" ht="19.5" customHeight="1" x14ac:dyDescent="0.3">
      <c r="B11" s="125" t="s">
        <v>176</v>
      </c>
      <c r="C11" s="127">
        <v>52203</v>
      </c>
      <c r="D11" s="126">
        <v>4000</v>
      </c>
      <c r="E11" s="126">
        <v>678901</v>
      </c>
      <c r="F11" s="126" t="s">
        <v>145</v>
      </c>
      <c r="G11" s="127">
        <v>44</v>
      </c>
      <c r="H11" s="125">
        <v>9509.2340000000004</v>
      </c>
      <c r="I11" s="134"/>
      <c r="J11" s="136">
        <f t="shared" si="0"/>
        <v>0.20182094081942337</v>
      </c>
      <c r="K11" s="125"/>
      <c r="L11" s="128">
        <f t="shared" si="1"/>
        <v>1685.9042671198808</v>
      </c>
      <c r="M11" s="79"/>
    </row>
    <row r="12" spans="1:13" ht="19.5" customHeight="1" thickBot="1" x14ac:dyDescent="0.35">
      <c r="B12" s="132" t="s">
        <v>92</v>
      </c>
      <c r="C12" s="180">
        <v>74200</v>
      </c>
      <c r="D12" s="180">
        <v>5018</v>
      </c>
      <c r="E12" s="180">
        <v>123456</v>
      </c>
      <c r="F12" s="180">
        <v>8123456</v>
      </c>
      <c r="G12" s="180">
        <v>43</v>
      </c>
      <c r="H12" s="130">
        <f>SUM(H7:H11)</f>
        <v>47117.182000000001</v>
      </c>
      <c r="I12" s="133">
        <f>SUM(I7:I11)</f>
        <v>0</v>
      </c>
      <c r="J12" s="137">
        <f>SUM(J7:J11)</f>
        <v>1</v>
      </c>
      <c r="K12" s="131">
        <f>IF(Table7[Adjusted Net Position (Deficit)/Surplus]&gt;0,Table7[Adjusted Net Position (Deficit)/Surplus],"")</f>
        <v>8353.4655040000107</v>
      </c>
      <c r="L12" s="138">
        <f>IF(Table7[Adjusted Net Position (Deficit)/Surplus]&gt;0,Table7[Adjusted Net Position (Deficit)/Surplus],"")</f>
        <v>8353.4655040000107</v>
      </c>
      <c r="M12" s="79"/>
    </row>
    <row r="13" spans="1:13" ht="14.5" thickTop="1" x14ac:dyDescent="0.3">
      <c r="B13" s="79"/>
      <c r="C13" s="79"/>
      <c r="D13" s="139"/>
      <c r="E13" s="140"/>
      <c r="F13" s="140"/>
      <c r="G13" s="79"/>
      <c r="H13" s="79"/>
      <c r="I13" s="79"/>
      <c r="J13" s="79"/>
      <c r="K13" s="79"/>
      <c r="L13" s="79"/>
      <c r="M13" s="79"/>
    </row>
  </sheetData>
  <mergeCells count="3">
    <mergeCell ref="A1:M1"/>
    <mergeCell ref="B2:M2"/>
    <mergeCell ref="B3:M3"/>
  </mergeCells>
  <phoneticPr fontId="6" type="noConversion"/>
  <printOptions horizontalCentered="1"/>
  <pageMargins left="0.75" right="0.75" top="1" bottom="1" header="0.5" footer="0.5"/>
  <pageSetup orientation="landscape" r:id="rId1"/>
  <headerFooter alignWithMargins="0">
    <oddHeader xml:space="preserve">&amp;C&amp;"Arial,Bold"&amp;18Disposition of the Surplus Balance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Last Approved Rate Calc</vt:lpstr>
      <vt:lpstr>Monthly Report 2023-24</vt:lpstr>
      <vt:lpstr>GL Transaction Detail</vt:lpstr>
      <vt:lpstr>Adjusted Net Position</vt:lpstr>
      <vt:lpstr>Discontinuation Checklist</vt:lpstr>
      <vt:lpstr>Proposed Treatment of Surplus </vt:lpstr>
      <vt:lpstr>'GL Transaction Detail'!Print_Area</vt:lpstr>
      <vt:lpstr>'Last Approved Rate Calc'!Print_Area</vt:lpstr>
      <vt:lpstr>'Monthly Report 2023-24'!Print_Area</vt:lpstr>
      <vt:lpstr>'GL Transaction Detail'!Print_Titles</vt:lpstr>
      <vt:lpstr>'Discontinuation Checklist'!Text10</vt:lpstr>
      <vt:lpstr>'Discontinuation Checklist'!Text8</vt:lpstr>
      <vt:lpstr>'Discontinuation Checklist'!Text9</vt:lpstr>
    </vt:vector>
  </TitlesOfParts>
  <Company>UCSF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Hislen, Sarah</cp:lastModifiedBy>
  <cp:lastPrinted>2018-01-02T17:38:25Z</cp:lastPrinted>
  <dcterms:created xsi:type="dcterms:W3CDTF">2009-11-04T00:16:27Z</dcterms:created>
  <dcterms:modified xsi:type="dcterms:W3CDTF">2024-02-22T22:59:11Z</dcterms:modified>
</cp:coreProperties>
</file>